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0" yWindow="0" windowWidth="21840" windowHeight="12030" activeTab="1"/>
  </bookViews>
  <sheets>
    <sheet name="2020 " sheetId="3" r:id="rId1"/>
    <sheet name="2021" sheetId="7" r:id="rId2"/>
  </sheets>
  <calcPr calcId="162913"/>
</workbook>
</file>

<file path=xl/calcChain.xml><?xml version="1.0" encoding="utf-8"?>
<calcChain xmlns="http://schemas.openxmlformats.org/spreadsheetml/2006/main">
  <c r="D227" i="7"/>
  <c r="D66"/>
  <c r="D67"/>
  <c r="D69"/>
  <c r="D71"/>
  <c r="D72"/>
  <c r="D73"/>
  <c r="D75"/>
  <c r="D76"/>
  <c r="D78"/>
  <c r="D79"/>
  <c r="D80"/>
  <c r="D81"/>
  <c r="D82"/>
  <c r="D83"/>
  <c r="D84"/>
  <c r="D85"/>
  <c r="D86"/>
  <c r="D87"/>
  <c r="D88"/>
  <c r="D89"/>
  <c r="D90"/>
  <c r="D91"/>
  <c r="D92"/>
  <c r="D93"/>
  <c r="D94"/>
  <c r="D95"/>
  <c r="D96"/>
  <c r="D97"/>
  <c r="D98"/>
  <c r="D99"/>
  <c r="D100"/>
  <c r="D101"/>
  <c r="D104"/>
  <c r="D108"/>
  <c r="D109"/>
  <c r="D112"/>
  <c r="D117"/>
  <c r="D118"/>
  <c r="D124"/>
  <c r="D127"/>
  <c r="D128"/>
  <c r="D130"/>
  <c r="D131"/>
  <c r="D135"/>
  <c r="D139"/>
  <c r="D140"/>
  <c r="D141"/>
  <c r="D148"/>
  <c r="D156"/>
  <c r="D165"/>
  <c r="D166"/>
  <c r="D167"/>
  <c r="D172"/>
  <c r="D173"/>
  <c r="D191"/>
  <c r="D192"/>
  <c r="D211"/>
  <c r="D212"/>
  <c r="D213"/>
  <c r="D214"/>
  <c r="D215"/>
  <c r="D216"/>
  <c r="D217"/>
  <c r="D218"/>
  <c r="D219"/>
  <c r="D220"/>
  <c r="D221"/>
  <c r="D222"/>
  <c r="D223"/>
  <c r="D224"/>
  <c r="D225"/>
  <c r="D226"/>
  <c r="F210"/>
  <c r="D210" s="1"/>
  <c r="F209"/>
  <c r="D209" s="1"/>
  <c r="F208"/>
  <c r="D208" s="1"/>
  <c r="F207"/>
  <c r="D207" s="1"/>
  <c r="F206"/>
  <c r="D206" s="1"/>
  <c r="F205"/>
  <c r="D205" s="1"/>
  <c r="F204"/>
  <c r="D204" s="1"/>
  <c r="F203"/>
  <c r="D203" s="1"/>
  <c r="F202"/>
  <c r="D202" s="1"/>
  <c r="F201"/>
  <c r="D201" s="1"/>
  <c r="F200"/>
  <c r="D200" s="1"/>
  <c r="F199"/>
  <c r="D199" s="1"/>
  <c r="F198"/>
  <c r="D198" s="1"/>
  <c r="F197"/>
  <c r="D197" s="1"/>
  <c r="F196"/>
  <c r="D196" s="1"/>
  <c r="F195"/>
  <c r="D195" s="1"/>
  <c r="F194"/>
  <c r="D194" s="1"/>
  <c r="F193"/>
  <c r="D193" s="1"/>
  <c r="E190"/>
  <c r="D190" s="1"/>
  <c r="E189"/>
  <c r="D189" s="1"/>
  <c r="E188"/>
  <c r="D188" s="1"/>
  <c r="E187"/>
  <c r="D187" s="1"/>
  <c r="E186"/>
  <c r="D186" s="1"/>
  <c r="E185"/>
  <c r="D185" s="1"/>
  <c r="E184"/>
  <c r="D184" s="1"/>
  <c r="E183"/>
  <c r="D183" s="1"/>
  <c r="E182"/>
  <c r="D182" s="1"/>
  <c r="F181"/>
  <c r="E181"/>
  <c r="E180"/>
  <c r="D180" s="1"/>
  <c r="E179"/>
  <c r="D179" s="1"/>
  <c r="E178"/>
  <c r="D178" s="1"/>
  <c r="E177"/>
  <c r="D177" s="1"/>
  <c r="E176"/>
  <c r="D176" s="1"/>
  <c r="E175"/>
  <c r="D175" s="1"/>
  <c r="E174"/>
  <c r="D174" s="1"/>
  <c r="F171"/>
  <c r="E171"/>
  <c r="F170"/>
  <c r="E170"/>
  <c r="F169"/>
  <c r="E169"/>
  <c r="F168"/>
  <c r="E168"/>
  <c r="F164"/>
  <c r="E164"/>
  <c r="F163"/>
  <c r="E163"/>
  <c r="F162"/>
  <c r="E162"/>
  <c r="F161"/>
  <c r="E161"/>
  <c r="F160"/>
  <c r="E160"/>
  <c r="F159"/>
  <c r="E159"/>
  <c r="F158"/>
  <c r="E158"/>
  <c r="E157"/>
  <c r="D157" s="1"/>
  <c r="F155"/>
  <c r="E155"/>
  <c r="F154"/>
  <c r="E154"/>
  <c r="F153"/>
  <c r="E153"/>
  <c r="F152"/>
  <c r="E152"/>
  <c r="F151"/>
  <c r="E151"/>
  <c r="F150"/>
  <c r="E150"/>
  <c r="E149"/>
  <c r="D149" s="1"/>
  <c r="E147"/>
  <c r="D147" s="1"/>
  <c r="F146"/>
  <c r="E146"/>
  <c r="F145"/>
  <c r="E145"/>
  <c r="F144"/>
  <c r="E144"/>
  <c r="F143"/>
  <c r="E143"/>
  <c r="F142"/>
  <c r="E142"/>
  <c r="F138"/>
  <c r="E138"/>
  <c r="F137"/>
  <c r="E137"/>
  <c r="F136"/>
  <c r="E136"/>
  <c r="F134"/>
  <c r="E134"/>
  <c r="F133"/>
  <c r="E133"/>
  <c r="F132"/>
  <c r="E132"/>
  <c r="F129"/>
  <c r="E129"/>
  <c r="F126"/>
  <c r="E126"/>
  <c r="E125"/>
  <c r="D125" s="1"/>
  <c r="E123"/>
  <c r="D123" s="1"/>
  <c r="F122"/>
  <c r="E122"/>
  <c r="E121"/>
  <c r="D121" s="1"/>
  <c r="F120"/>
  <c r="D120" s="1"/>
  <c r="F119"/>
  <c r="E119"/>
  <c r="F116"/>
  <c r="E116"/>
  <c r="E115"/>
  <c r="D115" s="1"/>
  <c r="F114"/>
  <c r="E114"/>
  <c r="F113"/>
  <c r="E113"/>
  <c r="F111"/>
  <c r="D111" s="1"/>
  <c r="F110"/>
  <c r="E110"/>
  <c r="F107"/>
  <c r="E107"/>
  <c r="F106"/>
  <c r="E106"/>
  <c r="F105"/>
  <c r="E105"/>
  <c r="E103"/>
  <c r="D103" s="1"/>
  <c r="E102"/>
  <c r="D102" s="1"/>
  <c r="E77"/>
  <c r="D77" s="1"/>
  <c r="E74"/>
  <c r="D74" s="1"/>
  <c r="E70"/>
  <c r="D70" s="1"/>
  <c r="E68"/>
  <c r="D68" s="1"/>
  <c r="E65"/>
  <c r="D65" s="1"/>
  <c r="D4" i="3"/>
  <c r="D5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60"/>
  <c r="D63"/>
  <c r="D65"/>
  <c r="D67"/>
  <c r="D74"/>
  <c r="D75"/>
  <c r="D76"/>
  <c r="D77"/>
  <c r="D78"/>
  <c r="D79"/>
  <c r="D87"/>
  <c r="D95"/>
  <c r="D98"/>
  <c r="D102"/>
  <c r="D103"/>
  <c r="D105"/>
  <c r="D106"/>
  <c r="D111"/>
  <c r="D112"/>
  <c r="D114"/>
  <c r="D117"/>
  <c r="D123"/>
  <c r="D124"/>
  <c r="D125"/>
  <c r="D127"/>
  <c r="D130"/>
  <c r="D133"/>
  <c r="D134"/>
  <c r="D135"/>
  <c r="D141"/>
  <c r="D142"/>
  <c r="D143"/>
  <c r="D150"/>
  <c r="D151"/>
  <c r="D157"/>
  <c r="D158"/>
  <c r="D159"/>
  <c r="D160"/>
  <c r="D166"/>
  <c r="D167"/>
  <c r="D171"/>
  <c r="D179"/>
  <c r="D182"/>
  <c r="D186"/>
  <c r="D190"/>
  <c r="D194"/>
  <c r="D198"/>
  <c r="D202"/>
  <c r="D203"/>
  <c r="D204"/>
  <c r="D205"/>
  <c r="D206"/>
  <c r="D207"/>
  <c r="D208"/>
  <c r="D209"/>
  <c r="D210"/>
  <c r="D211"/>
  <c r="D4" i="7"/>
  <c r="D5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3"/>
  <c r="F201" i="3"/>
  <c r="D201" s="1"/>
  <c r="F200"/>
  <c r="D200" s="1"/>
  <c r="F199"/>
  <c r="D199" s="1"/>
  <c r="F198"/>
  <c r="F197"/>
  <c r="D197" s="1"/>
  <c r="F196"/>
  <c r="D196" s="1"/>
  <c r="F195"/>
  <c r="D195" s="1"/>
  <c r="F194"/>
  <c r="F193"/>
  <c r="D193" s="1"/>
  <c r="F192"/>
  <c r="D192" s="1"/>
  <c r="F191"/>
  <c r="D191" s="1"/>
  <c r="F190"/>
  <c r="F189"/>
  <c r="D189" s="1"/>
  <c r="F188"/>
  <c r="D188" s="1"/>
  <c r="F187"/>
  <c r="D187" s="1"/>
  <c r="F186"/>
  <c r="F185"/>
  <c r="D185" s="1"/>
  <c r="F184"/>
  <c r="D184" s="1"/>
  <c r="F183"/>
  <c r="D183" s="1"/>
  <c r="F181"/>
  <c r="E181"/>
  <c r="D181" s="1"/>
  <c r="F180"/>
  <c r="E180"/>
  <c r="F179"/>
  <c r="E178"/>
  <c r="D178" s="1"/>
  <c r="E177"/>
  <c r="D177" s="1"/>
  <c r="E176"/>
  <c r="D176" s="1"/>
  <c r="F175"/>
  <c r="E175"/>
  <c r="D175" s="1"/>
  <c r="E174"/>
  <c r="D174" s="1"/>
  <c r="E173"/>
  <c r="D173" s="1"/>
  <c r="E172"/>
  <c r="D172" s="1"/>
  <c r="E170"/>
  <c r="D170" s="1"/>
  <c r="E169"/>
  <c r="D169" s="1"/>
  <c r="E168"/>
  <c r="D168" s="1"/>
  <c r="F165"/>
  <c r="E165"/>
  <c r="D165" s="1"/>
  <c r="F164"/>
  <c r="E164"/>
  <c r="F163"/>
  <c r="E163"/>
  <c r="D163" s="1"/>
  <c r="F162"/>
  <c r="D162" s="1"/>
  <c r="F161"/>
  <c r="D161" s="1"/>
  <c r="F156"/>
  <c r="E156"/>
  <c r="D156" s="1"/>
  <c r="F155"/>
  <c r="E155"/>
  <c r="F154"/>
  <c r="E154"/>
  <c r="D154" s="1"/>
  <c r="F153"/>
  <c r="E153"/>
  <c r="E152"/>
  <c r="D152" s="1"/>
  <c r="F149"/>
  <c r="E149"/>
  <c r="D149" s="1"/>
  <c r="F148"/>
  <c r="E148"/>
  <c r="F147"/>
  <c r="E147"/>
  <c r="D147" s="1"/>
  <c r="F146"/>
  <c r="E146"/>
  <c r="D146" s="1"/>
  <c r="E145"/>
  <c r="D145" s="1"/>
  <c r="F144"/>
  <c r="E144"/>
  <c r="E143"/>
  <c r="F140"/>
  <c r="E140"/>
  <c r="D140" s="1"/>
  <c r="F139"/>
  <c r="E139"/>
  <c r="D139" s="1"/>
  <c r="E138"/>
  <c r="D138" s="1"/>
  <c r="F137"/>
  <c r="E137"/>
  <c r="F136"/>
  <c r="E136"/>
  <c r="D136" s="1"/>
  <c r="F132"/>
  <c r="D132" s="1"/>
  <c r="F131"/>
  <c r="D131" s="1"/>
  <c r="F130"/>
  <c r="F129"/>
  <c r="D129" s="1"/>
  <c r="F128"/>
  <c r="E128"/>
  <c r="F127"/>
  <c r="E127"/>
  <c r="F126"/>
  <c r="D126" s="1"/>
  <c r="F122"/>
  <c r="D122" s="1"/>
  <c r="F121"/>
  <c r="D121" s="1"/>
  <c r="F120"/>
  <c r="E120"/>
  <c r="D120" s="1"/>
  <c r="E119"/>
  <c r="D119" s="1"/>
  <c r="F118"/>
  <c r="D118" s="1"/>
  <c r="F116"/>
  <c r="E116"/>
  <c r="D116" s="1"/>
  <c r="E115"/>
  <c r="D115" s="1"/>
  <c r="F113"/>
  <c r="E113"/>
  <c r="D113" s="1"/>
  <c r="E110"/>
  <c r="D110" s="1"/>
  <c r="E109"/>
  <c r="D109" s="1"/>
  <c r="F108"/>
  <c r="D108" s="1"/>
  <c r="F107"/>
  <c r="E107"/>
  <c r="D107" s="1"/>
  <c r="F104"/>
  <c r="D104" s="1"/>
  <c r="E102"/>
  <c r="F101"/>
  <c r="E101"/>
  <c r="D101" s="1"/>
  <c r="F100"/>
  <c r="E100"/>
  <c r="F99"/>
  <c r="E99"/>
  <c r="D99" s="1"/>
  <c r="E97"/>
  <c r="D97" s="1"/>
  <c r="E96"/>
  <c r="D96" s="1"/>
  <c r="F95"/>
  <c r="F94"/>
  <c r="D94" s="1"/>
  <c r="F93"/>
  <c r="D93" s="1"/>
  <c r="F92"/>
  <c r="D92" s="1"/>
  <c r="F91"/>
  <c r="D91" s="1"/>
  <c r="F90"/>
  <c r="D90" s="1"/>
  <c r="F89"/>
  <c r="D89" s="1"/>
  <c r="F88"/>
  <c r="D88" s="1"/>
  <c r="F87"/>
  <c r="F86"/>
  <c r="D86" s="1"/>
  <c r="F85"/>
  <c r="D85" s="1"/>
  <c r="F84"/>
  <c r="D84" s="1"/>
  <c r="F83"/>
  <c r="D83" s="1"/>
  <c r="F82"/>
  <c r="D82" s="1"/>
  <c r="F81"/>
  <c r="D81" s="1"/>
  <c r="F80"/>
  <c r="D80" s="1"/>
  <c r="F79"/>
  <c r="F73"/>
  <c r="D73" s="1"/>
  <c r="F72"/>
  <c r="D72" s="1"/>
  <c r="F71"/>
  <c r="E71"/>
  <c r="D71" s="1"/>
  <c r="F70"/>
  <c r="D70" s="1"/>
  <c r="F69"/>
  <c r="D69" s="1"/>
  <c r="E68"/>
  <c r="D68" s="1"/>
  <c r="F67"/>
  <c r="F66"/>
  <c r="D66" s="1"/>
  <c r="F64"/>
  <c r="D64" s="1"/>
  <c r="F62"/>
  <c r="D62" s="1"/>
  <c r="F61"/>
  <c r="D61" s="1"/>
  <c r="F59"/>
  <c r="D59" s="1"/>
  <c r="D3"/>
  <c r="D153" l="1"/>
  <c r="D100"/>
  <c r="D148"/>
  <c r="D137"/>
  <c r="D155"/>
  <c r="D128"/>
  <c r="D144"/>
  <c r="D164"/>
  <c r="D180"/>
  <c r="D160" i="7"/>
  <c r="D164"/>
  <c r="D107"/>
  <c r="D119"/>
  <c r="D122"/>
  <c r="D126"/>
  <c r="D132"/>
  <c r="D134"/>
  <c r="D142"/>
  <c r="D144"/>
  <c r="D146"/>
  <c r="D150"/>
  <c r="D152"/>
  <c r="D154"/>
  <c r="D114"/>
  <c r="D159"/>
  <c r="D163"/>
  <c r="D170"/>
  <c r="D161"/>
  <c r="D168"/>
  <c r="D106"/>
  <c r="D129"/>
  <c r="D136"/>
  <c r="D143"/>
  <c r="D153"/>
  <c r="D181"/>
  <c r="D105"/>
  <c r="D113"/>
  <c r="D137"/>
  <c r="D158"/>
  <c r="D162"/>
  <c r="D169"/>
  <c r="D171"/>
  <c r="D110"/>
  <c r="D116"/>
  <c r="D133"/>
  <c r="D138"/>
  <c r="D145"/>
  <c r="D151"/>
  <c r="D155"/>
</calcChain>
</file>

<file path=xl/sharedStrings.xml><?xml version="1.0" encoding="utf-8"?>
<sst xmlns="http://schemas.openxmlformats.org/spreadsheetml/2006/main" count="884" uniqueCount="328">
  <si>
    <t>«Կայուն դպրոցական սնունդ» հիմնադրամ</t>
  </si>
  <si>
    <r>
      <t>«</t>
    </r>
    <r>
      <rPr>
        <sz val="11"/>
        <color theme="1"/>
        <rFont val="GHEA Grapalat"/>
        <family val="3"/>
      </rPr>
      <t>Նախնական մասնագիտական (արհեստագործական) և միջին մասնագիտական կրթության և ուսուցման (ՄԿՈՒ) բարեփոխումներ</t>
    </r>
    <r>
      <rPr>
        <sz val="11"/>
        <color rgb="FF000000"/>
        <rFont val="GHEA Grapalat"/>
        <family val="3"/>
      </rPr>
      <t>»</t>
    </r>
  </si>
  <si>
    <t>«Մասնագիտական կրթության որակի ապահովման ազգային կենտրոն» հիմնադրամ</t>
  </si>
  <si>
    <t xml:space="preserve">«Նախնական՝ միջին մասնագիտական և բարձրագույն կրթության որակի ապահովում»  </t>
  </si>
  <si>
    <t>Պարենի համաշխարհային ծրագիրը</t>
  </si>
  <si>
    <t>«Դպրոցական երեխաների սննդով ապահովում»</t>
  </si>
  <si>
    <t>Արտանիշ գյուղի միջնակարգ դպրոց ՊՈԱԿ</t>
  </si>
  <si>
    <t>«Դպրոցների համալիր անվտանգության ապահովում»</t>
  </si>
  <si>
    <t>«Մուցքի հիմնական  դպրոց» ՊՈԱԿ</t>
  </si>
  <si>
    <t>«Այգեպարի միջնակարգ դպրոց» ՊՈԱԿ</t>
  </si>
  <si>
    <t>«Մոսեսգեղի  Պ. Ավալյանի  անվան  միջնակարգ դպրոց» ՊՈԱԿ</t>
  </si>
  <si>
    <t>«Բերդավանի միջնակարգ դպրոց» ՊՈԱԿ</t>
  </si>
  <si>
    <t>«Ոսկեպարի Հ.Բարսեղյանի անվան միջնակարգ դպրոց» ՊՈԱԿ</t>
  </si>
  <si>
    <t>«Ն. Ծաղկավանի միջնակարգ դպրոց» ՊՈԱԿ</t>
  </si>
  <si>
    <t>«Վազաշենի միջնակարգ դպրոց» ՊՈԱԿ</t>
  </si>
  <si>
    <t>Ազատամուտի միջնակարգ դպրոց ՊՈԱԿ</t>
  </si>
  <si>
    <t>«Ալավերդու թիվ 9 միջնակարգ դպրոց» ՊՈԱԿ</t>
  </si>
  <si>
    <t>«Այգեձորի միջնակարգ դպրոց» ՊՈԱԿ</t>
  </si>
  <si>
    <t>«Բերդի թիվ 3 հիմնական դպրոց» ՊՈԱԿ</t>
  </si>
  <si>
    <t>«Գյումրու թիվ 5 հիմնական դպրոց» ՊՈԱԿ</t>
  </si>
  <si>
    <t>«Կապանի թիվ 1 հիմնական դպրոց» ՊՈԱԿ</t>
  </si>
  <si>
    <t>«Կառնուտի միջնակարգ դպրոց» ՊՈԱԿ</t>
  </si>
  <si>
    <t>«Շաղաթի միջնակարգ դպրոց» ՊՈԱԿ</t>
  </si>
  <si>
    <t>Կազմակերպության անվանումը</t>
  </si>
  <si>
    <t>Նպատակը</t>
  </si>
  <si>
    <t>«Ատլետիկայի օլիմպիական ՄՊՄԴ» ՊՈԱԿ</t>
  </si>
  <si>
    <t>«Արտադպրոցական դաստիարակություն»</t>
  </si>
  <si>
    <t>«Հ. Գասպարյանի անվան շախմատի և շաշկու օլիմպիական ՄՊՄԴ» ՊՈԱԿ</t>
  </si>
  <si>
    <t>«Երևանի ծանրամարտի ՄՊՄԴ» ՊՈԱԿ</t>
  </si>
  <si>
    <t>«Երևանի հրաձգության ՄՊՄԴ» ՊՈԱԿ</t>
  </si>
  <si>
    <t>«Վ. Ենգիբարյանի անվ. բռնցքամարտի օլիմպիական ՄՊՄԴ» ՊՈԱԿ</t>
  </si>
  <si>
    <t>«Ն. Մուշեղյանի անվան ըմբշամարտի  օլիմպիական ՄՊՄԴ» ՊՈԱԿ</t>
  </si>
  <si>
    <t>«Թիավարության մարզաձևերի  օլիմպիական ՄՊՄԴ» ՊՈԱԿ</t>
  </si>
  <si>
    <t>«Սամբոյի և ձյուդոյի  օլիմպիական ՄՊՄԴ» ՊՈԱԿ</t>
  </si>
  <si>
    <t>«Հեծանվային սպորտի  օլիմպիական ՄՊՄԴ» ՊՈԱԿ</t>
  </si>
  <si>
    <t>«Հ. Շահինյանի անվ. սպորտ., գեղարվ. մարմն. և ակրոբ. օլիմպ. ՄՊՄԴ» ՊՈԱԿ</t>
  </si>
  <si>
    <t>«Ռ. Կարապետյանի անվ. մենապ. մարզաձևերի  օլիմպ. ՄՊՄԴ» ՊՈԱԿ</t>
  </si>
  <si>
    <t>«Հրազդանի մականախաղի և շախմատի  օլիմպիակ. ՄՊՄԴ» ՊՈԱԿ</t>
  </si>
  <si>
    <t>«Լ. Հարությունյանի անվան Ծաղկաձորի լեռնադահուկային  ՄՊՄԴ» ՊՈԱԿ</t>
  </si>
  <si>
    <t>«Սևանի ջրային մարզաձևերի ՄՊՄԴ» ՊՈԱԿ</t>
  </si>
  <si>
    <t>«Սպիտակի ՄՊ համալիր ՄԴ» ՊՈԱԿ</t>
  </si>
  <si>
    <t>«Արմավիրի մենապայքարային մարզաձևերի ՄՊՄԴ» ՊՈԱԿ</t>
  </si>
  <si>
    <t>«Գյումրու մանկապատանեկան համալիր ՄԴ» ՊՈԱԿ</t>
  </si>
  <si>
    <t>«Գյումրու Լ. Մնացականյանի անվան ձմեռային մարզաձևերի ՄՊՄԴ» ՊՈԱԿ</t>
  </si>
  <si>
    <t>«Գյումրու սուսերամարտի ՄՊՄԴ» ՊՈԱԿ</t>
  </si>
  <si>
    <t>«Գյումրու ծանրամարտի ՄՊՄԴ» ՊՈԱԿ</t>
  </si>
  <si>
    <t>«Գյումրու աթլետիկայի  օլիմպիական ՄՊՄԴ» ՊՈԱԿ</t>
  </si>
  <si>
    <t>«Քաջարանի համալիր  ՄՊՄԴ» ՊՈԱԿ</t>
  </si>
  <si>
    <t>«Վանաձորի բռնցքամարտի ՄՊՄԴ» ՊՈԱԿ</t>
  </si>
  <si>
    <t>«Երևանի օլիմպիական ՄՊ համալիր ՄԴ» ՊՈԱԿ</t>
  </si>
  <si>
    <t>«Տիգրան Պետրոսյանի անվան Շախմատի տուն»  ՊՈԱԿ</t>
  </si>
  <si>
    <t>«Մանկապատանեկան հանրապետական կենտրոն» ՊՈԱԿ</t>
  </si>
  <si>
    <t>«Տեխնիկական ստեղծագործության հանրապետական» ՊՈԱԿ</t>
  </si>
  <si>
    <t>«Տեխնիկական մոդելավորման հանրապետական կենտրոն» ՊՈԱԿ</t>
  </si>
  <si>
    <t>«Աշխատանքային ռեզերվներ» ՄՀԿ</t>
  </si>
  <si>
    <t>«Հրաձգության հանրապետական մարզադպրոց» ՊՈԱԿ</t>
  </si>
  <si>
    <t>«Ընտանիք» մանկապատանեկան ստեղծագործության կենտրոն ՊՈԱԿ</t>
  </si>
  <si>
    <t>«Գեղագիտության ազգային կենտրոն» ՊՓԲԸ</t>
  </si>
  <si>
    <t>«Խաղային մարզաձևերի օլիմպական մանկապատանեկան մարզադպրոց» ՊՈԱԿ</t>
  </si>
  <si>
    <t>«Դիլիջանի արվեստի պետական քոլեջ»  ՊՈԱԿ</t>
  </si>
  <si>
    <t>«Երեխաների հատուկ ստեղծագործական կենտրոն»  ՊՈԱԿ</t>
  </si>
  <si>
    <t>«Հայաստան» մարզական միություն»  ՀԿ</t>
  </si>
  <si>
    <t>«Արտադպրոցական դաստիարակություն հասարակական կազմակերպությունների կողմից»</t>
  </si>
  <si>
    <t>«Հայաստանի «Սևան» մարզական» ՀԿ</t>
  </si>
  <si>
    <t>«Հայաստանի «Դինամո» մարզական»  ՀԿ</t>
  </si>
  <si>
    <t>«Ազգային երգ ու պարի ակադեմիա» կրթամշակութային հիմնադրամ</t>
  </si>
  <si>
    <t>«Ազգային երգ ու պար» առարկայի ներդրում հանրակրթական ուսումնական հաստատություններում»</t>
  </si>
  <si>
    <t>«Երևանի պետական համալսարան» հիմնադրամ</t>
  </si>
  <si>
    <t>«2022 թվականին ՀՀ-ում կենսաբանության միջազգային օլիմպիադայի նախապատրաստում»</t>
  </si>
  <si>
    <t xml:space="preserve">«Շողակաթ» հեռուստաընկերություն ՍՊԸ </t>
  </si>
  <si>
    <t xml:space="preserve">«:ԲՈՒՆ» գիտամշակութային հիմնադրամը </t>
  </si>
  <si>
    <t xml:space="preserve">«Հայաստանի պետական սիմֆոնիկ նվագախումբ» ՊՈԱԿ </t>
  </si>
  <si>
    <t>«Դասական երաժշտություն «Դաս A»</t>
  </si>
  <si>
    <t>«Դպրոցականների հանրապետական մարզական ֆեդերացիա» ՀԿ</t>
  </si>
  <si>
    <t>«Դպրոցականների հանրապետական սպարտակիադայի անցկացում»</t>
  </si>
  <si>
    <t>«ՀԱՍՄԻԿ ՃԱՄԲԱՐ» ՍՊԸ</t>
  </si>
  <si>
    <t>«Դպրոցականների ամառային հանգստի կազմակերպում և տրանսպորտային ծախսերի փոխհատուցում»</t>
  </si>
  <si>
    <t>«ԼՈՒՍԱԲԱՑ ՃԱՄԲԱՐ» ԱՌՈՂՋԱՐԱՐԱԿԱՆ ՍՊԸ</t>
  </si>
  <si>
    <t>«ԱՐԱԳԱԾ ՃԱՄԲԱՐ» ՍՊԸ</t>
  </si>
  <si>
    <t>«ՀԵՔԻԱԹԱՅԻՆ ԿԻՐՃ» ՍՊԸ</t>
  </si>
  <si>
    <t>«ԼԱՎԱ-ԱՂԲՅՈՒՐ» ՍՊԸ</t>
  </si>
  <si>
    <t>«ՀԱՆՔԱՎԱՆԻ ԽՈՏՈՐՋՈՒՐ ԱՌՈՂՋԱՐԱՆ» ՍՊԸ</t>
  </si>
  <si>
    <t>«Մարզադպրոցների գույքային և տեխնիկական ապահովվածության բարելավում»</t>
  </si>
  <si>
    <t>«Արամ Մանուկյանի անվան Մարզառազմական մասնագիտացված դպրոց» ՊՈԱԿ</t>
  </si>
  <si>
    <t>«Գեղարվեստական դաստիարակության և մշակույթի մանկապատանեկ. կենտրոն» ՊՈԱԿ</t>
  </si>
  <si>
    <t>«ՀՀ հանրակրթական ծրագրեր իրականացնող ուսումնական հաստատությունների 11-րդ դասարանների աշակերտների ռազմամարզական ճամբարների կազմակերպում»</t>
  </si>
  <si>
    <t>«Գեղարվեստական դաստիարակության և մշակույթի մանկապատանեկան կենտրոն» ՊՈԱԿ</t>
  </si>
  <si>
    <t>2020 թվական</t>
  </si>
  <si>
    <t xml:space="preserve"> Երևանի N 2 ավագ դպրոց</t>
  </si>
  <si>
    <t>Միջնակարգ կրթության իրականացում, տարրակարգ ստացած ուսուցիչների հավելավճարների տրամադրում</t>
  </si>
  <si>
    <t xml:space="preserve"> Երևանի Ա. Իսահակյանի անվան N 16 ավագ դպրոց</t>
  </si>
  <si>
    <t>Միջնակարգ կրթության իրականացում</t>
  </si>
  <si>
    <t xml:space="preserve">Երևանի Ա. Մարգարյանի անվան N 29 ավագ դպրոց </t>
  </si>
  <si>
    <t>Երևանի Տ. Շևչենկոյի  անվան N 42 ավագ դպրոց</t>
  </si>
  <si>
    <t>Երևանի N 46 ավագ դպրոց</t>
  </si>
  <si>
    <t xml:space="preserve">Երևանի Մ. Քաջունու անվան N 54 ավագ դպրոց  </t>
  </si>
  <si>
    <t>Երևանի N 62 ավագ դպրոց</t>
  </si>
  <si>
    <t>Երևանի Լեոյի անվան  N 65 ավագ դպրոց</t>
  </si>
  <si>
    <t xml:space="preserve">Երևանի Հ. Գալստյանի անվան N 83 ավագ դպրոց </t>
  </si>
  <si>
    <t>Նախադպրոցական, տարրական և հիմնական կրթության իրականացում</t>
  </si>
  <si>
    <t xml:space="preserve">Երևանի Գ. Մարգարյանի անվ. N 94  ավագ դպրոց </t>
  </si>
  <si>
    <t xml:space="preserve">Երևանի N 97 ավագ դպրոց </t>
  </si>
  <si>
    <t>Հայ-չինական բարեկամության դպրոց հիմնադրամ</t>
  </si>
  <si>
    <t>Հիմնական և միջնակարգ կրթության իրականացում, օժանդակություն հիմնադրամին, տարրակարգ ստացած ուսուցիչների հավելավճարների տրամադրում</t>
  </si>
  <si>
    <t>Երևանի N 105  ավագ դպրոց</t>
  </si>
  <si>
    <t>Երևանի N 109   ավագ դպրոց</t>
  </si>
  <si>
    <t xml:space="preserve">Երևանի N 112 ավագ  դպրոց </t>
  </si>
  <si>
    <t>Երևանի Խ. Դաշտենցի անվան N 114  ավագ  դպրոց</t>
  </si>
  <si>
    <t xml:space="preserve">Երևանի Ս. Հովսեփյանի անվան  N 115 ավագ դպրոց </t>
  </si>
  <si>
    <t xml:space="preserve">Երևանի Ա. Երզնկյանի անվ.N 118  ավագ դպրոց </t>
  </si>
  <si>
    <t xml:space="preserve">Երևանի Բ. Ժամկոչյանի անվան  N 119 ավագ դպրոց </t>
  </si>
  <si>
    <t>Հիմնական և միջնակարգ կրթության իրականացում, տարրակարգ ստացած ուսուցիչների հավելավճարների տրամադրում</t>
  </si>
  <si>
    <t>Երևանի Լ. Արիսյանի անվան N 127 ավագ դպրոց</t>
  </si>
  <si>
    <t>Միջնակարգ կրթության իրականացում,տարրակարգ ստացած ուսուցիչների հավելավճարների տրամադրում</t>
  </si>
  <si>
    <t xml:space="preserve">Երևանի Կ. Դեմիրճյանի անվան N 139   ավագ դպրոց </t>
  </si>
  <si>
    <t>Երևանի Ա. Ղարիբյանի անվան N 142   ավագ դպրոց</t>
  </si>
  <si>
    <t>Երևանի  Մ. Գալշոյանի անվան N 148 ավագ դպրոց</t>
  </si>
  <si>
    <t>«Երևանի N 159  ավագ դպրոց»  ՊՈԱԿ</t>
  </si>
  <si>
    <t>Երևանի N 170 ավագ դպրոց</t>
  </si>
  <si>
    <t>Երևանի Գ. Էմինի անվան N 182 ավագ դպրոց</t>
  </si>
  <si>
    <t xml:space="preserve">Երևանի Ս. Խանզադյանի անվան N 184   ավագ դպրոց </t>
  </si>
  <si>
    <t>Երևանի Ս. Գևորգյանի անվան N 189 ավագ դպրոց</t>
  </si>
  <si>
    <t xml:space="preserve">Երևանի Գ. Գյուլբենկյանի անվան N 190   ավագ դպրոց </t>
  </si>
  <si>
    <t xml:space="preserve"> Երևանի N 195 ավագ  դպրոց</t>
  </si>
  <si>
    <t>Երևանի N 198 ավագ դպրոց</t>
  </si>
  <si>
    <t>Տարրական, հիմնական և միջնակարգ կրթության իրականացում, տարրակարգ ստացած ուսուցիչների հավելավճարների տրամադրում</t>
  </si>
  <si>
    <t>«Հայաստանի ազգային ագրարային համալսարան» հիմնադրամ</t>
  </si>
  <si>
    <t>Միջնակարգ կրթության իրականացում, տարրակարգ ստացած ուսուցիչների հավելավճարների տրամադրում, Երևանի Կորյունի 15,17,19 հասցեներում տարածքներ զբաղեցնող պետական մարմինների 2019 թվականին կատարված, ինչպես նաև մինչև 2020 թվականի ավարտը կատարվելիք ջեռուցման և ջրամատակարարման ծառայությունների գծով ծախսերի փոխհատուցում</t>
  </si>
  <si>
    <t>«Երևանի պետական բժշկական համալսարան» հիմնադրամ</t>
  </si>
  <si>
    <t>Տարրական, հիմնական և միջնակարգ կրթության իրականացում</t>
  </si>
  <si>
    <t>&lt;&lt;Երևանի  &lt;&lt;Մխիթար Սեբաստացի&gt;&gt; կրթահամալիր&gt;&gt; ՊՈԱԿ</t>
  </si>
  <si>
    <t>Տարրական, հիմնական և միջնակարգ կրթության և հեղինակային ծրագրի իրականացում</t>
  </si>
  <si>
    <t xml:space="preserve">Աշտարակի Ն. Սիսակյանի անվան  N 5 ավագ դպրոց </t>
  </si>
  <si>
    <t xml:space="preserve">Ապարանի ավագ դպրոց </t>
  </si>
  <si>
    <t>Միջնակարգ կրթության իրականացում, աշակերտների և ուսուցիչների տրանսպորտային ծախսերի փոխհատուցում, տարրակարգ ստացած ուսուցիչների հավելավճարների տրամադրում</t>
  </si>
  <si>
    <t xml:space="preserve">Թալինի ավագ դպրոց </t>
  </si>
  <si>
    <t xml:space="preserve">Մասիսի N 5 ավագ դպրոց </t>
  </si>
  <si>
    <t xml:space="preserve">Արարատի  ավագ դպրոց </t>
  </si>
  <si>
    <t>Միջնակարգ կրթության իրականացում, աշակերտների և ուսուցիչների տրանսպորտային ծախսերի փոխհատուցում</t>
  </si>
  <si>
    <t xml:space="preserve">Վեդիի  ավագ  դպրոց </t>
  </si>
  <si>
    <t xml:space="preserve">Ոսկետափի ավագ դպրոց </t>
  </si>
  <si>
    <t>Արտաշատի ավագ դպրոց</t>
  </si>
  <si>
    <t>Արմավիրի Ռ. Եղոյանի անվ. N 1  ավագ դպրոց</t>
  </si>
  <si>
    <t xml:space="preserve">Արմավիրի N 4  ավագ դպրոց </t>
  </si>
  <si>
    <t>Վաղարշապատի Գրիգոր Նարեկացու անվան N 2 ավագ դպրոց</t>
  </si>
  <si>
    <t>Վաղարշապատի Մ. Գորկու անվ. N 5  ավագ դպրոց</t>
  </si>
  <si>
    <t>Վաղարշապատի Մ. Խորենացու  անվան N 10 ավագ դպրոց</t>
  </si>
  <si>
    <t xml:space="preserve">Մեծամորի N 2  ավագ դպրոց </t>
  </si>
  <si>
    <t>Գավառի ավագ դպրոց</t>
  </si>
  <si>
    <t>Սևանի Խ.Աբովյանի անվան ավագ դպրոց</t>
  </si>
  <si>
    <t>Վարդենիկի կրթահամալիր</t>
  </si>
  <si>
    <t xml:space="preserve">Վարդենիսի Հ.Համբարձումյանի անվան ավագ դպրոց </t>
  </si>
  <si>
    <t xml:space="preserve">Ճամբարակի ավագ դպրոց </t>
  </si>
  <si>
    <t xml:space="preserve">Ձորագյուղի ավագ դպրոց </t>
  </si>
  <si>
    <t xml:space="preserve">Մարտունու  Տ. Աբրահամյանի անվան ավագ դպրոց </t>
  </si>
  <si>
    <t>«Ծաղկունքի բաց դպրոց» հիմնադրամ</t>
  </si>
  <si>
    <t>Նախադպրոցական, տարրական, հիմնական, միջնակարգ և ներառական կրթության իրականացում</t>
  </si>
  <si>
    <t xml:space="preserve">Վանաձորի Վ.Տերյանի անվ. N 5 ավագ դպրոց </t>
  </si>
  <si>
    <t xml:space="preserve">Վանաձորի Սայաթ-Նովայի անվան N 10 ավագ դպրոց </t>
  </si>
  <si>
    <t xml:space="preserve">Վանաձորի Գրիբոյեդովի անվան N 11 ավագ դպրոց </t>
  </si>
  <si>
    <t xml:space="preserve">Վանաձորի . Ս. Նալղռանյանի անվան N 13 ավագ դպրոց </t>
  </si>
  <si>
    <t xml:space="preserve">Վանաձորի Մովսես Խորենացու անվան N 17 ավագ դպրոց </t>
  </si>
  <si>
    <t>«Վանաձորի պետական համալսարան» հիմնադրամ</t>
  </si>
  <si>
    <t>Հ. Շիրազի անվան Գուգարքի ավագ դպրոց մ/դ</t>
  </si>
  <si>
    <t>Ստեփանավանի ավագ դպրոց</t>
  </si>
  <si>
    <t xml:space="preserve">Ալավերդու Ս. Շահումյանի անվան N 5 ավագ դպրոց </t>
  </si>
  <si>
    <t>Նախադպրոցական և միջնակարգ կրթության իրականացում, աշակերտների և ուսուցիչների տրանսպորտային ծախսերի փոխհատուցում, տարրակարգ ստացած ուսուցիչների հավելավճարների տրամադրում</t>
  </si>
  <si>
    <t xml:space="preserve">Ալավերդու Սայաթ-Նովայի անվան N 8 ավագ դպրոց </t>
  </si>
  <si>
    <t>Սպիտակի Ս. Ավետիսյանի անվան  ավագ դպրոց</t>
  </si>
  <si>
    <t>Տաշիրի ավագ դպրոց</t>
  </si>
  <si>
    <t xml:space="preserve"> Հրազդանի Խ.Աբովյանի անվան N 1  ավագ դպրոց </t>
  </si>
  <si>
    <t xml:space="preserve">Հրազդանի N 10 ավագ դպրոց </t>
  </si>
  <si>
    <t>Հրազդանի Հովսեփ Օրբելու անվան N 13 ավագ դպրոց</t>
  </si>
  <si>
    <t>Եղվարդի N 1 ավագ դպրոց</t>
  </si>
  <si>
    <t>Գառնիի Ատոմի անվան N 2 ավագ դպրոց</t>
  </si>
  <si>
    <t>Չարենցավանի Մ. Մաշտոցի անվան ավագ դպրոց</t>
  </si>
  <si>
    <t xml:space="preserve">Բյուրեղավանի Ս. Վարդանյանի անվան  ավագ դպրոց </t>
  </si>
  <si>
    <t>Նախադպրոցական և միջնակարգ կրթության իրականացում, աշակերտների և ուսուցիչների տրանսպորտային ծախսերի փոխհատուցում</t>
  </si>
  <si>
    <t>Նոր Հաճնի  ավագ  դպրոց</t>
  </si>
  <si>
    <t xml:space="preserve">Աբովյանի  Խ. Աբովյանի անվան N 1 ավագ դպրոց </t>
  </si>
  <si>
    <t>Աբովյանի N 4 ավագ դպրոց</t>
  </si>
  <si>
    <t>Աբովյանի  N 6 ավագ դպրոց</t>
  </si>
  <si>
    <t>Աբովյանի  կրթահամալիր</t>
  </si>
  <si>
    <t>Նախադպրոցական, տարրական, հիմնական, միջնակարգ և ներառական կրթության իրականացում, աշակերտների և ուսուցիչների տրանսպորտային ծախսերի փոխհատուցում</t>
  </si>
  <si>
    <t>Գյումրու N 1 ավագ դպրոց</t>
  </si>
  <si>
    <t>Գյումրու N 2  ավագ դպրոց</t>
  </si>
  <si>
    <t>Գյումրու N 26  ավագ դպրոց</t>
  </si>
  <si>
    <t>Գյումրու N 37  ավագ դպրոց</t>
  </si>
  <si>
    <t>Գյումրու N 45 միջնակարգ դպրոց</t>
  </si>
  <si>
    <t>Նախադպրոցական, տարրական, հիմնական և միջնակարգ կրթության իրականացում, աշակերտների և ուսուցիչների տրանսպորտային ծախսերի փոխհատուցում, տարրակարգ ստացած ուսուցիչների հավելավճարների տրամադրում</t>
  </si>
  <si>
    <t>Հիմնական և միջնակարգ կրթության իրականացում, աշակերտների և ուսուցիչների տրանսպորտային ծախսերի փոխհատուցում, տարրակարգ ստացած ուսուցիչների հավելավճարների տրամադրում</t>
  </si>
  <si>
    <t>Ախուրյանի Ն. Աղբալյանի անվան ավագ դպրոց</t>
  </si>
  <si>
    <t xml:space="preserve"> Արթիկի N 3  ավագ դպրոց </t>
  </si>
  <si>
    <t>Վայքի ավագ դպրոց</t>
  </si>
  <si>
    <t>Միջնակարգ և ներառական կրթության իրականացում, աշակերտների և ուսուցիչների տրանսպորտային ծախսերի փոխհատուցում, տարրակարգ ստացած ուսուցիչների հավելավճարների տրամադրում</t>
  </si>
  <si>
    <t>Եղեգնաձորի ավագ դպրոց</t>
  </si>
  <si>
    <t xml:space="preserve"> Ջերմուկի ավագ դպրոց </t>
  </si>
  <si>
    <t>Տարրական, հիմնական, միջնակարգ և ներառական կրթության իրականացում, աշակերտների և ուսուցիչների տրանսպորտային ծախսերի փոխհատուցում, տարրակարգ ստացած ուսուցիչների հավելավճարների տրամադրում</t>
  </si>
  <si>
    <t>Իջևանի ավագ դպրոց</t>
  </si>
  <si>
    <t>Դիլիջանի ավագ դպրոց</t>
  </si>
  <si>
    <t>Նոյեմբերյանի ավագ դպրոց</t>
  </si>
  <si>
    <t>Բերդի ավագ դպրոց</t>
  </si>
  <si>
    <t xml:space="preserve">Գորիսի Ա. Բակունցի անվան N 1 ավագ դպրոց </t>
  </si>
  <si>
    <t xml:space="preserve">Գորիսի N 4 ավագ դպրոց </t>
  </si>
  <si>
    <t xml:space="preserve">Կապանի N 2 ավագ դպրոց </t>
  </si>
  <si>
    <t>Կապանի N 9 ավագ դպրոց</t>
  </si>
  <si>
    <t>Սիսիանի ավագ դպրոց</t>
  </si>
  <si>
    <t>Գյումրու Ֆոտոն վարժարան</t>
  </si>
  <si>
    <t>Գյումրու ակադեմիական վարժարան</t>
  </si>
  <si>
    <t>Իրավական կրթության և վերականգնողական ծրագրերի կենտրոն</t>
  </si>
  <si>
    <t>Հիմնական և միջնակարգ կրթության իրականացում</t>
  </si>
  <si>
    <t>«Հանրապետական թիվ 1 հատուկ կրթահամալիր» ՊՈԱԿ</t>
  </si>
  <si>
    <t>Հիմնական և միջնակարգ մակարդակի հատուկ կրթության իրականացում, տարրակարգ ստացած ուսուցիչների հավելավճարների տրամադրում</t>
  </si>
  <si>
    <t>«Երևանի լսողության խանգարումներ ունեցող երեխաների հատուկ կրթահամալիր» ՊՈԱԿ</t>
  </si>
  <si>
    <t>Տարրական, հիմնական և միջնակարգ մակարդակի հատուկ կրթության իրականացում</t>
  </si>
  <si>
    <t>«Երևանի հենաշարժողական համակարգի խախտումներ ունեցող երեխաների թիվ 17 հատուկ դպրոց» ՊՈԱԿ</t>
  </si>
  <si>
    <t>Տարրական և հիմնական մակարդակի հատուկ կրթության իրականացում</t>
  </si>
  <si>
    <t>«Հանրապետական թիվ 2 հատուկ կրթահամալիր» ՊՈԱԿ</t>
  </si>
  <si>
    <t>Միջնակարգ մակարդակի հատուկ կրթության իրականացում</t>
  </si>
  <si>
    <t>«Երևանի մտավոր թերզարգացում ունեցող երեխաների թիվ 11 հատուկ/օժանդակ դպրոց» ՊՈԱԿ</t>
  </si>
  <si>
    <t>Տարրական և հիմնական մակարդակի հատուկ կրթության իրականացում, տարրակարգ ստացած ուսուցիչների հավելավճարների տրամադրում</t>
  </si>
  <si>
    <t>«Երևանի տեսողության խանգարումներ ունեցող երեխաների թիվ 14 հատուկ դպրոց» ՊՈԱԿ</t>
  </si>
  <si>
    <t>Տարրական, հիմնական և միջնակարգ մակարդակի հատուկ կրթության իրականացում, տարրակարգ ստացած ուսուցիչների հավելավճարների տրամադրում</t>
  </si>
  <si>
    <t>«Կապանի թիվ 3 հատուկ կրթահամալիր» ՊՈԱԿ</t>
  </si>
  <si>
    <t>«ԵՊՀ առընթեր Ա. Շահինյանի անվան ֆիզիկամաթեմատիկական հատուկ դպրոց» ՊՈԱԿ</t>
  </si>
  <si>
    <t>Հիմնական և միջնակարգ մակարդակի միջնակարգ կրթության իրականացում, տարրակարգ ստացած ուսուցիչների հավելավճարների տրամադրում, դպրոցական օլիմպիադաների անցկացում</t>
  </si>
  <si>
    <t>«Երևանի թիվ 13 երաժշտական հատուկ դպրոց» ՊՈԱԿ</t>
  </si>
  <si>
    <t>Տարրական, հիմնական և միջնակարգ մակարդակի միջնակարգ կրթության իրականացում</t>
  </si>
  <si>
    <t>«Արմավիրի Տ. Մեծի անվան ռազմամարզական հատուկ վարժարան» ՊՈԱԿ</t>
  </si>
  <si>
    <t>Հիմնական և միջնակարգ մակարդակի միջնակարգ կրթության իրականացում</t>
  </si>
  <si>
    <t>«Անանաիա Շիրակացու անվան ճեմարան» միջազգային գիտակրթական համալիր ՓԲԸ</t>
  </si>
  <si>
    <t>«Արամ Մանուկյանի անվան մարզառազմական մասնագիտացված դպրոց» ՊՈԱԿ</t>
  </si>
  <si>
    <t>Հիմնական մակարդակի միջնակարգ կրթության իրականացում, տարրակարգ ստացած ուսուցիչների հավելավճարների տրամադրում</t>
  </si>
  <si>
    <t>«Վանաձորի մափեմատիկայի և բնագիտության առարկաների խորացված ուսուցմամբ հատուկ դպրոց» ՊՈԱԿ</t>
  </si>
  <si>
    <t>Հիմնական և միջնակարգ մակարդակի միջնակարգ կրթության իրականացում, տարրակարգ ստացած ուսուցիչների հավելավճարների տրամադրում</t>
  </si>
  <si>
    <t>«Երևանի Պ. Չայկովսկու անվան միջնակարգ երաժշտական մասնագիտացված դպրոց» ՊՈԱԿ</t>
  </si>
  <si>
    <t>Տարրական, հիմնական և միջնակարգ մակարդակի միջնակարգ կրթության իրականացում, ավելացված արժեքի հարկ, տարրակարգ ստացած ուսուցիչների հավելավճարների տրամադրում</t>
  </si>
  <si>
    <t>Առաջատար տեխնոլոգիաների ձեռնարկությունների միություն ՀԿ</t>
  </si>
  <si>
    <t>Ինժեներական լաբորատորիաների խմբակների աշխատանքների կազմակերպում</t>
  </si>
  <si>
    <t>«Հանրապետական մանկավարժահոգեբանական կենտրոն» ՊՈԱԿ</t>
  </si>
  <si>
    <t>Հանրակրթական դպրոցներում ԿԱՊԿՈՒ երեխաներին ծառայությունների մատուցում, հանրակրթական դպրոցների ուսուցիչների և նրանց օգնականների վերապատրաստման և մենթորության ծրագրի իրականացում</t>
  </si>
  <si>
    <t>«Հույսի կամուրջ» ՀԿ</t>
  </si>
  <si>
    <t>Հանրակրթական դպրոցներում ԿԱՊԿՈՒ երեխաներին ծառայությունների մատուցում</t>
  </si>
  <si>
    <t>«Երևանի թիվ 1 տարածքային մանկավարժահոգեբանական աջակցության կենտրոն» ՊՈԱԿ</t>
  </si>
  <si>
    <t>«Երևանի թիվ 2 տարածքային մանկավարժահոգեբանական աջակցության կենտրոն» ՊՈԱԿ</t>
  </si>
  <si>
    <t>«Երևանի թիվ 3 տարածքային մանկավարժահոգեբանական աջակցության կենտրոն» ՊՈԱԿ</t>
  </si>
  <si>
    <t>«Երևանի թիվ 4 տարածքային մանկավարժահոգեբանական աջակցության կենտրոն» ՊՈԱԿ</t>
  </si>
  <si>
    <t>«Սիսիանի տարածքային մանկավարժահոգեբանական աջակցության կենտրոն» ՊՈԱԿ</t>
  </si>
  <si>
    <t>«Գորիսի տարածքային մանկավարժահոգեբանական աջակցության կենտրոն» ՊՈԱԿ</t>
  </si>
  <si>
    <t>«Կապանի տարածքային մանկավարժահոգեբանական աջակցության կենտրոն» ՊՈԱԿ</t>
  </si>
  <si>
    <t>«Սպիտակի տարածքային մանկավարժահոգեբանական աջակցության կենտրոն» ՊՈԱԿ</t>
  </si>
  <si>
    <t>«Վանաձորի տարածքային մանկավարժահոգեբանական աջակցության կենտրոն» ՊՈԱԿ</t>
  </si>
  <si>
    <t>«Ստեփանավանի տարածքային մանկավարժահոգեբանական աջակցության կենտրոն» ՊՈԱԿ</t>
  </si>
  <si>
    <t>«Արմավիրի տարածքային մանկավարժահոգեբանական աջակցության կենտրոն» ՊՈԱԿ</t>
  </si>
  <si>
    <t>«Վաղարշապատի տարածքային մանկավարժահոգեբանական աջակցության կենտրոն» ՊՈԱԿ</t>
  </si>
  <si>
    <t>«Շիրակի տարածքային մանկավարժահոգեբանական աջակցության կենտրոն» ՊՈԱԿ</t>
  </si>
  <si>
    <t>«Արթիկի տարածքային մանկավարժահոգեբանական աջակցության կենտրոն» ՊՈԱԿ</t>
  </si>
  <si>
    <t>«Աշտարակի տարածքային մանկավարժահոգեբանական աջակցության կենտրոն» ՊՈԱԿ</t>
  </si>
  <si>
    <t>«Կոտայքի տարածքային մանկավարժահոգեբանական աջակցության կենտրոն» ՊՈԱԿ</t>
  </si>
  <si>
    <t>«Գեղարքունիքի տարածքային մանկավարժահոգեբանական աջակցության կենտրոն» ՊՈԱԿ</t>
  </si>
  <si>
    <t>««Զեյթուն» ուսանողական ավան» հիմնադրամ</t>
  </si>
  <si>
    <t>Երևանում բարձրագույն կրթության հասանելիության ապահովում մարզաբնակ ուսանողներին</t>
  </si>
  <si>
    <t>«Ակադեմիական փոխճանաչման և շարժունության ազգային տեղեկատվական կենտրոն» հիմնադրամ</t>
  </si>
  <si>
    <t>Ակադեմիական փոխճանաչման և շարժունության ծառայություններ</t>
  </si>
  <si>
    <t>Եվրոպական բարձրագույն կրթական տարածքի անդամակցությամբ պայմանավորված բարձրագույն մասնագիտական կրթության համակարգի բարեփոխումներ</t>
  </si>
  <si>
    <t xml:space="preserve">«Բնակարան երիտասարդներին» վերաֆինանսավորում իրականացնող վարկային կազմակերպություն փակ բաժնետիրական ընկերություն </t>
  </si>
  <si>
    <t>Ուսումնական վարկերի տոկոսավճարների մասնակի փոխհատուցում</t>
  </si>
  <si>
    <t>ՀՀ բարձրագույն որակավորման կոմիտե</t>
  </si>
  <si>
    <t>Գիտական աստիճանաշնորհման և գիտամանկավարժական կոչումների շնորհում</t>
  </si>
  <si>
    <t>«Վ. Բրյուսովի անվան պետական համալսարան» հիմնադրամ</t>
  </si>
  <si>
    <t>Կրթամշակութային աջակցություն սփյուռքի համայնքներին</t>
  </si>
  <si>
    <t>Հենրիկ Իգիթյանի անվան գեղագիտության ազգային կենտրոն» ՓԲԸ</t>
  </si>
  <si>
    <t>Մանկապատանեկան և երիտասարդական կրթական ու կրթամշակութային միջոցառումների կազմակերպում</t>
  </si>
  <si>
    <t>Օտարերկրյա պետություններում հայերենի և հայագիտական  առարկաների դասավանդում</t>
  </si>
  <si>
    <t xml:space="preserve">«Երևանի Վ. Բրյուսովի անվան պետական լեզվահասարակագիտական  համալսարան» </t>
  </si>
  <si>
    <t>COVID-19 Հորդանանում գտնվող հայ ուսանողների տեղափոխման ապահովում</t>
  </si>
  <si>
    <t>Հայաստանի երիտասարդական հիմնադրամ</t>
  </si>
  <si>
    <t>Հայաստանի երիտասարդական հիմնադրամի լուծարման արդյունքում կուտակված պարտավորությունների հետ կապված ծախսերի փոխհատուցում</t>
  </si>
  <si>
    <t>2021 թվական</t>
  </si>
  <si>
    <t>Սուբսիդիա</t>
  </si>
  <si>
    <t>Միջնակարգ կրթության իրականացում, տարրակարգ ստացած ուսոցիչների հավելավճարների տրամադրում</t>
  </si>
  <si>
    <t>Տարրական, հիմնական և միջնակարգ կրթության իրականացում, տարրակարգ ստացած ուսոցիչների հավելավճարների տրամադրում</t>
  </si>
  <si>
    <t>Նախադպրոցական, տարրական, հիմնական և միջնակարգ կրթության իրականացում</t>
  </si>
  <si>
    <t>Նախադպրոցական, տարրական, հիմնական և միջնակարգ կրթության և հեղինակային ծրագրի իրականացում</t>
  </si>
  <si>
    <t>Միջնակարգ կրթության իրականացում, աշակերտների և ուսուցիչների տրանսպորտային ծախսերի փոխհատուցում, տարրակարգ ստացած ուսոցիչների հավելավճարների տրամադրում</t>
  </si>
  <si>
    <t>Տարրական, հիմնական և միջնակարգ կրթության իրականացում, աշակերտների և ուսուցիչների տրանսպորտային ծախսերի փոխհատուցում, տարրակարգ ստացած ուսուցիչների հավելավճարների տրամադրում</t>
  </si>
  <si>
    <t>Նախադպրոցական, տարրական, հիմնական և միջնակարգ կրթության իրականացում, աշակերտների և ուսուցիչների տրանսպորտային ծախսերի փոխհատուցում</t>
  </si>
  <si>
    <t>Միջնակարգ կրթության իրականացում, աշակերտների և ուսուցիչների տրանսպորտային ծախսերի փոխհատուցում,  տարրակարգ ստացած ուսոցիչների հավելավճարների տրամադրում</t>
  </si>
  <si>
    <t>Միջնակարգ կրթության իրականացում, աշակերտների և ուսուցիչների տրանսպորտային ծախսերի փոխհատուցում,  տարրակարգ ստացած ուսուցիչների հավելավճարների տրամադրում</t>
  </si>
  <si>
    <t>Նախադպրոցական, տարրական, հիմնական և միջնակարգ կրթության իրականացում, աշակերտների և ուսուցիչների տրանսպորտային ծախսերի փոխհատուցում,  տարրակարգ ստացած ուսոցիչների հավելավճարների տրամադրում</t>
  </si>
  <si>
    <t>Հիմնական և միջնակարգ կրթության իրականացում, աշակերտների և ուսուցիչների տրանսպորտային ծախսերի փոխհատուցում,  տարրակարգ ստացած ուսուցիչների հավելավճարների տրամադրում</t>
  </si>
  <si>
    <t>Հիմնական և միջնակարգ կրթության իրականացում,  տարրակարգ ստացած ուսուցիչների հավելավճարների տրամադրում</t>
  </si>
  <si>
    <t>Հիմնական և միջնակարգ մակարդակի հատուկ կրթության իրականացում,  տարրակարգ ստացած ուսոցիչների հավելավճարների տրամադրում</t>
  </si>
  <si>
    <t>Տարրական, հիմնական և միջնակարգ մակարդակի հատուկ կրթության իրականացում,  տարրակարգ ստացած ուսոցիչների հավելավճարների տրամադրում</t>
  </si>
  <si>
    <t>Հիմնական մակարդակի միջնակարգ կրթության իրականացում</t>
  </si>
  <si>
    <t>Տարրական, հիմնական և միջնակարգ մակարդակի միջնակարգ կրթության իրականացում, տարրակարգ ստացած ուսուցիչների հավելավճարների տրամադրում</t>
  </si>
  <si>
    <t>«Երևանի պարարվեստի պետական մարզական քոլեջ» ՊՈԱԿ</t>
  </si>
  <si>
    <t>Տարրական և հիմնական մակարդակի միջնակարգ կրթության իրականացում</t>
  </si>
  <si>
    <t>«Երևանի օլիմպիական հերթափոխի պետական քոլեջ» ՊՈԱԿ</t>
  </si>
  <si>
    <t>«Գյումրու օլիմպիական հերթափոխի պետական քոլեջ» ՊՈԱԿ</t>
  </si>
  <si>
    <t>«Ձեզ համար» ՀԿ</t>
  </si>
  <si>
    <t xml:space="preserve">«մանկական զարգացման հիմնադրամ» </t>
  </si>
  <si>
    <t>ՀՀ Արագածոտնի մարզի Ակունք համայնքապետարան</t>
  </si>
  <si>
    <t>Նախադպրոցական այլընտրանքային ծախսաարդյունավետ մոդելների ներդրում</t>
  </si>
  <si>
    <t>ՀՀ Շիրակի մարզի Սարապատ համայնքապետարան</t>
  </si>
  <si>
    <t>ՀՀ Լոռու մարզի Ստեփանավանի համայնքապետարան</t>
  </si>
  <si>
    <t>ՀՀ Լոռու մարզի Լոռու Բերդ համայնքապետարան</t>
  </si>
  <si>
    <t>ՀՀ Արագածոտնի մարզի Շղարշիկ համայնքապետարան</t>
  </si>
  <si>
    <t>«Կրթության զարգացման և նորարարությունների ազգային կենտրոն» հիմնադրամ</t>
  </si>
  <si>
    <t>Կրթության որակի ապահովում</t>
  </si>
  <si>
    <t>«Մասնագիտական կրթության որակի ապահովման ազգային կենտրոն» հիմնադրամը</t>
  </si>
  <si>
    <t>Բարձրագույն կրթության որակի ապահովման ծառայություններ</t>
  </si>
  <si>
    <t xml:space="preserve">Դրամաշնորհ </t>
  </si>
  <si>
    <t>Ընդամենը գումարի չափը (հազար դրամ)</t>
  </si>
  <si>
    <t>¹</t>
  </si>
  <si>
    <r>
      <rPr>
        <sz val="11"/>
        <rFont val="Calibri"/>
        <family val="2"/>
      </rPr>
      <t>«</t>
    </r>
    <r>
      <rPr>
        <sz val="11"/>
        <rFont val="GHEA Grapalat"/>
        <family val="3"/>
      </rPr>
      <t>Գյումրու տնտեսագիտական վարժարան</t>
    </r>
    <r>
      <rPr>
        <sz val="11"/>
        <rFont val="Calibri"/>
        <family val="2"/>
      </rPr>
      <t xml:space="preserve">» </t>
    </r>
    <r>
      <rPr>
        <sz val="11"/>
        <rFont val="GHEA Grapalat"/>
        <family val="3"/>
      </rPr>
      <t>ՊՈԱԿ</t>
    </r>
  </si>
  <si>
    <r>
      <rPr>
        <sz val="11"/>
        <rFont val="Calibri"/>
        <family val="2"/>
      </rPr>
      <t>«</t>
    </r>
    <r>
      <rPr>
        <sz val="11"/>
        <rFont val="GHEA Grapalat"/>
        <family val="3"/>
      </rPr>
      <t>Շիրակի պետական համալսարան</t>
    </r>
    <r>
      <rPr>
        <sz val="11"/>
        <rFont val="Calibri"/>
        <family val="2"/>
      </rPr>
      <t>»</t>
    </r>
    <r>
      <rPr>
        <sz val="11"/>
        <rFont val="GHEA Grapalat"/>
        <family val="3"/>
      </rPr>
      <t xml:space="preserve"> հիմնադրամ</t>
    </r>
  </si>
  <si>
    <t>«Ֆինանսական գրագիտություն, ձեռնարկատիրական հմտությունների զարգացման, մասնագիտական կրթության վերաբերյալ հեռուստահաղորդաշարի ու սոցիալական հոլովակների և կարճ. խաղարկային ֆիլմերի պատրաստում»</t>
  </si>
  <si>
    <r>
      <rPr>
        <sz val="11"/>
        <rFont val="Calibri"/>
        <family val="2"/>
      </rPr>
      <t>«</t>
    </r>
    <r>
      <rPr>
        <sz val="11"/>
        <rFont val="GHEA Grapalat"/>
        <family val="3"/>
      </rPr>
      <t>Երևանի Վ.Թեքեյանի անվան N 92 դպրոց</t>
    </r>
    <r>
      <rPr>
        <sz val="11"/>
        <rFont val="Calibri"/>
        <family val="2"/>
      </rPr>
      <t>»</t>
    </r>
    <r>
      <rPr>
        <sz val="11"/>
        <rFont val="GHEA Grapalat"/>
        <family val="3"/>
      </rPr>
      <t xml:space="preserve"> ՊՈԱԿ</t>
    </r>
  </si>
  <si>
    <r>
      <t xml:space="preserve">Երևանի </t>
    </r>
    <r>
      <rPr>
        <sz val="11"/>
        <rFont val="Calibri"/>
        <family val="2"/>
      </rPr>
      <t>«</t>
    </r>
    <r>
      <rPr>
        <sz val="11"/>
        <rFont val="GHEA Grapalat"/>
        <family val="3"/>
      </rPr>
      <t>Օլիմպոս</t>
    </r>
    <r>
      <rPr>
        <sz val="11"/>
        <rFont val="Calibri"/>
        <family val="2"/>
      </rPr>
      <t>»</t>
    </r>
    <r>
      <rPr>
        <sz val="11"/>
        <rFont val="GHEA Grapalat"/>
        <family val="3"/>
      </rPr>
      <t xml:space="preserve"> կրթահամալիր-ավագ դպրոց</t>
    </r>
  </si>
  <si>
    <r>
      <rPr>
        <sz val="11"/>
        <rFont val="Calibri"/>
        <family val="2"/>
      </rPr>
      <t>«</t>
    </r>
    <r>
      <rPr>
        <sz val="11"/>
        <rFont val="GHEA Grapalat"/>
        <family val="3"/>
      </rPr>
      <t>Հայաստանի պետական մանկավարժական համալսարան</t>
    </r>
    <r>
      <rPr>
        <sz val="11"/>
        <rFont val="Calibri"/>
        <family val="2"/>
      </rPr>
      <t>»</t>
    </r>
    <r>
      <rPr>
        <sz val="11"/>
        <rFont val="GHEA Grapalat"/>
        <family val="3"/>
      </rPr>
      <t xml:space="preserve"> հիմնադրամ</t>
    </r>
  </si>
  <si>
    <r>
      <rPr>
        <sz val="11"/>
        <rFont val="Calibri"/>
        <family val="2"/>
      </rPr>
      <t>«</t>
    </r>
    <r>
      <rPr>
        <sz val="11"/>
        <rFont val="GHEA Grapalat"/>
        <family val="3"/>
      </rPr>
      <t>Հայաստանի ազգային պոլիտեխնիկական համալսարան</t>
    </r>
    <r>
      <rPr>
        <sz val="11"/>
        <rFont val="Calibri"/>
        <family val="2"/>
      </rPr>
      <t>»</t>
    </r>
    <r>
      <rPr>
        <sz val="11"/>
        <rFont val="GHEA Grapalat"/>
        <family val="3"/>
      </rPr>
      <t xml:space="preserve"> հիմնադրամ</t>
    </r>
  </si>
  <si>
    <r>
      <rPr>
        <sz val="11"/>
        <rFont val="Calibri"/>
        <family val="2"/>
      </rPr>
      <t>«</t>
    </r>
    <r>
      <rPr>
        <sz val="11"/>
        <rFont val="GHEA Grapalat"/>
        <family val="3"/>
      </rPr>
      <t>Ճարտարապետության և շինարարության Հայաստանի  ազգային համալսարան</t>
    </r>
    <r>
      <rPr>
        <sz val="11"/>
        <rFont val="Calibri"/>
        <family val="2"/>
      </rPr>
      <t>»</t>
    </r>
    <r>
      <rPr>
        <sz val="11"/>
        <rFont val="GHEA Grapalat"/>
        <family val="3"/>
      </rPr>
      <t xml:space="preserve"> հիմնադրամ</t>
    </r>
  </si>
  <si>
    <t>Երևանի Վ.Թեքեյանի անվան N 92 դպրոց ՊՈԱԿ</t>
  </si>
  <si>
    <t>«Հենրիկ Իգիթյանի անվան գեղագիտության ազգային կենտրոն» ՓԲԸ</t>
  </si>
  <si>
    <t>«Վ. Ենգիբարյանի անվան բռնցքամարտի օլիմպիական ՄՊՄԴ» ՊՈԱԿ</t>
  </si>
  <si>
    <t>«Գնահատման և թեստավորման կենտրոն» ՊՈԱԿ</t>
  </si>
  <si>
    <t xml:space="preserve">Քննական թեստերի և հարցաշարերի մշակում և փորձարկում, դպրոցի ավարտական և բուհերի ընդունելության միասնական քննությունների կազմակերպում և անցկացում, սովորողների գիտելիքների արտաքին ընթացիկ գնահատում, ազգային ստուգատեսերի անցկացում, TIMSS/PIRLS </t>
  </si>
</sst>
</file>

<file path=xl/styles.xml><?xml version="1.0" encoding="utf-8"?>
<styleSheet xmlns="http://schemas.openxmlformats.org/spreadsheetml/2006/main">
  <numFmts count="1">
    <numFmt numFmtId="164" formatCode="0.0"/>
  </numFmts>
  <fonts count="12">
    <font>
      <sz val="11"/>
      <color theme="1"/>
      <name val="Calibri"/>
      <family val="2"/>
      <scheme val="minor"/>
    </font>
    <font>
      <sz val="11"/>
      <color theme="1"/>
      <name val="GHEA Grapalat"/>
      <family val="3"/>
    </font>
    <font>
      <sz val="11"/>
      <color rgb="FF000000"/>
      <name val="GHEA Grapalat"/>
      <family val="3"/>
    </font>
    <font>
      <b/>
      <sz val="11"/>
      <color theme="1"/>
      <name val="GHEA Grapalat"/>
      <family val="3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GHEA Grapalat"/>
      <family val="3"/>
    </font>
    <font>
      <b/>
      <sz val="11"/>
      <color theme="1"/>
      <name val="Academy"/>
    </font>
    <font>
      <sz val="11"/>
      <name val="Calibri"/>
      <family val="2"/>
    </font>
    <font>
      <sz val="12"/>
      <color theme="1"/>
      <name val="GHEA Grapalat"/>
      <family val="3"/>
    </font>
    <font>
      <sz val="12"/>
      <name val="GHEA Grapalat"/>
    </font>
    <font>
      <sz val="12"/>
      <name val="GHEA Grapalat"/>
      <family val="3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46">
    <xf numFmtId="0" fontId="0" fillId="0" borderId="0" xfId="0"/>
    <xf numFmtId="0" fontId="0" fillId="0" borderId="0" xfId="0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164" fontId="6" fillId="0" borderId="2" xfId="1" applyNumberFormat="1" applyFont="1" applyFill="1" applyBorder="1" applyAlignment="1">
      <alignment horizontal="center" vertical="center" wrapText="1"/>
    </xf>
    <xf numFmtId="164" fontId="6" fillId="0" borderId="3" xfId="1" applyNumberFormat="1" applyFont="1" applyFill="1" applyBorder="1" applyAlignment="1">
      <alignment horizontal="center" vertical="center" wrapText="1"/>
    </xf>
    <xf numFmtId="164" fontId="6" fillId="0" borderId="5" xfId="1" applyNumberFormat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164" fontId="6" fillId="0" borderId="1" xfId="1" applyNumberFormat="1" applyFont="1" applyFill="1" applyBorder="1" applyAlignment="1">
      <alignment horizontal="center" vertical="center" wrapText="1"/>
    </xf>
    <xf numFmtId="0" fontId="4" fillId="0" borderId="0" xfId="0" applyFont="1"/>
    <xf numFmtId="0" fontId="6" fillId="0" borderId="2" xfId="1" applyFont="1" applyFill="1" applyBorder="1" applyAlignment="1">
      <alignment horizontal="left" vertical="center" wrapText="1"/>
    </xf>
    <xf numFmtId="0" fontId="6" fillId="0" borderId="0" xfId="1" applyFont="1" applyFill="1" applyBorder="1" applyAlignment="1">
      <alignment horizontal="center" vertical="center" wrapText="1"/>
    </xf>
    <xf numFmtId="0" fontId="6" fillId="0" borderId="2" xfId="1" applyFont="1" applyFill="1" applyBorder="1" applyAlignment="1">
      <alignment horizontal="center" vertical="center" wrapText="1"/>
    </xf>
    <xf numFmtId="0" fontId="6" fillId="0" borderId="4" xfId="1" applyFont="1" applyFill="1" applyBorder="1" applyAlignment="1">
      <alignment horizontal="center" vertical="center" wrapText="1"/>
    </xf>
    <xf numFmtId="164" fontId="6" fillId="0" borderId="4" xfId="1" applyNumberFormat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left" vertical="center" wrapText="1"/>
    </xf>
    <xf numFmtId="0" fontId="6" fillId="0" borderId="4" xfId="1" applyFont="1" applyFill="1" applyBorder="1" applyAlignment="1">
      <alignment horizontal="left" vertical="center" wrapText="1"/>
    </xf>
    <xf numFmtId="0" fontId="0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164" fontId="6" fillId="0" borderId="3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0" fillId="0" borderId="0" xfId="0" applyFont="1"/>
    <xf numFmtId="0" fontId="0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/>
    </xf>
    <xf numFmtId="164" fontId="0" fillId="0" borderId="0" xfId="0" applyNumberFormat="1" applyFont="1" applyAlignment="1">
      <alignment horizontal="center" vertical="center"/>
    </xf>
    <xf numFmtId="0" fontId="10" fillId="0" borderId="1" xfId="1" applyFont="1" applyFill="1" applyBorder="1" applyAlignment="1">
      <alignment horizontal="center" vertical="center" wrapText="1"/>
    </xf>
    <xf numFmtId="0" fontId="10" fillId="0" borderId="1" xfId="1" applyFont="1" applyFill="1" applyBorder="1" applyAlignment="1">
      <alignment horizontal="left" vertical="center" wrapText="1"/>
    </xf>
    <xf numFmtId="0" fontId="11" fillId="0" borderId="1" xfId="1" applyFont="1" applyFill="1" applyBorder="1" applyAlignment="1">
      <alignment horizontal="center" vertical="center" wrapText="1"/>
    </xf>
    <xf numFmtId="164" fontId="10" fillId="0" borderId="1" xfId="1" applyNumberFormat="1" applyFont="1" applyFill="1" applyBorder="1" applyAlignment="1">
      <alignment horizontal="center" vertical="center" wrapText="1"/>
    </xf>
    <xf numFmtId="164" fontId="11" fillId="0" borderId="1" xfId="1" applyNumberFormat="1" applyFont="1" applyFill="1" applyBorder="1" applyAlignment="1">
      <alignment horizontal="center" vertical="center" wrapText="1"/>
    </xf>
    <xf numFmtId="0" fontId="11" fillId="0" borderId="0" xfId="1" applyFont="1" applyFill="1" applyAlignment="1">
      <alignment horizontal="center" vertical="center" wrapText="1"/>
    </xf>
    <xf numFmtId="0" fontId="10" fillId="0" borderId="6" xfId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12"/>
  <sheetViews>
    <sheetView topLeftCell="A210" workbookViewId="0">
      <selection activeCell="F212" sqref="A212:F212"/>
    </sheetView>
  </sheetViews>
  <sheetFormatPr defaultRowHeight="16.5"/>
  <cols>
    <col min="1" max="1" width="7.140625" style="31" customWidth="1"/>
    <col min="2" max="2" width="58.28515625" style="30" customWidth="1"/>
    <col min="3" max="3" width="37.42578125" style="16" customWidth="1"/>
    <col min="4" max="6" width="18.42578125" style="16" customWidth="1"/>
  </cols>
  <sheetData>
    <row r="1" spans="1:6" ht="44.25" customHeight="1">
      <c r="F1" s="37" t="s">
        <v>87</v>
      </c>
    </row>
    <row r="2" spans="1:6" s="1" customFormat="1" ht="84" customHeight="1">
      <c r="A2" s="15" t="s">
        <v>314</v>
      </c>
      <c r="B2" s="14" t="s">
        <v>23</v>
      </c>
      <c r="C2" s="14" t="s">
        <v>24</v>
      </c>
      <c r="D2" s="14" t="s">
        <v>313</v>
      </c>
      <c r="E2" s="14" t="s">
        <v>279</v>
      </c>
      <c r="F2" s="14" t="s">
        <v>312</v>
      </c>
    </row>
    <row r="3" spans="1:6" ht="39" customHeight="1">
      <c r="A3" s="2">
        <v>1</v>
      </c>
      <c r="B3" s="5" t="s">
        <v>25</v>
      </c>
      <c r="C3" s="6" t="s">
        <v>26</v>
      </c>
      <c r="D3" s="2">
        <f>E3+F3</f>
        <v>58456.9</v>
      </c>
      <c r="E3" s="2">
        <v>58456.9</v>
      </c>
      <c r="F3" s="17">
        <v>0</v>
      </c>
    </row>
    <row r="4" spans="1:6" ht="39" customHeight="1">
      <c r="A4" s="2">
        <v>2</v>
      </c>
      <c r="B4" s="5" t="s">
        <v>27</v>
      </c>
      <c r="C4" s="6" t="s">
        <v>26</v>
      </c>
      <c r="D4" s="2">
        <f t="shared" ref="D4:D67" si="0">E4+F4</f>
        <v>30810.3</v>
      </c>
      <c r="E4" s="2">
        <v>30810.3</v>
      </c>
      <c r="F4" s="17">
        <v>0</v>
      </c>
    </row>
    <row r="5" spans="1:6" ht="39" customHeight="1">
      <c r="A5" s="2">
        <v>3</v>
      </c>
      <c r="B5" s="5" t="s">
        <v>28</v>
      </c>
      <c r="C5" s="6" t="s">
        <v>26</v>
      </c>
      <c r="D5" s="2">
        <f t="shared" si="0"/>
        <v>69088.5</v>
      </c>
      <c r="E5" s="2">
        <v>69088.5</v>
      </c>
      <c r="F5" s="17">
        <v>0</v>
      </c>
    </row>
    <row r="6" spans="1:6" ht="39" customHeight="1">
      <c r="A6" s="2">
        <v>4</v>
      </c>
      <c r="B6" s="5" t="s">
        <v>29</v>
      </c>
      <c r="C6" s="6" t="s">
        <v>26</v>
      </c>
      <c r="D6" s="2">
        <f t="shared" si="0"/>
        <v>61000.4</v>
      </c>
      <c r="E6" s="2">
        <v>61000.4</v>
      </c>
      <c r="F6" s="17">
        <v>0</v>
      </c>
    </row>
    <row r="7" spans="1:6" ht="39" customHeight="1">
      <c r="A7" s="2">
        <v>5</v>
      </c>
      <c r="B7" s="5" t="s">
        <v>30</v>
      </c>
      <c r="C7" s="6" t="s">
        <v>26</v>
      </c>
      <c r="D7" s="2">
        <f t="shared" si="0"/>
        <v>61306.9</v>
      </c>
      <c r="E7" s="2">
        <v>61306.9</v>
      </c>
      <c r="F7" s="17">
        <v>0</v>
      </c>
    </row>
    <row r="8" spans="1:6" ht="39" customHeight="1">
      <c r="A8" s="2">
        <v>6</v>
      </c>
      <c r="B8" s="5" t="s">
        <v>31</v>
      </c>
      <c r="C8" s="6" t="s">
        <v>26</v>
      </c>
      <c r="D8" s="2">
        <f t="shared" si="0"/>
        <v>89191.2</v>
      </c>
      <c r="E8" s="2">
        <v>89191.2</v>
      </c>
      <c r="F8" s="17">
        <v>0</v>
      </c>
    </row>
    <row r="9" spans="1:6" ht="39" customHeight="1">
      <c r="A9" s="2">
        <v>7</v>
      </c>
      <c r="B9" s="5" t="s">
        <v>32</v>
      </c>
      <c r="C9" s="6" t="s">
        <v>26</v>
      </c>
      <c r="D9" s="2">
        <f t="shared" si="0"/>
        <v>61605.2</v>
      </c>
      <c r="E9" s="2">
        <v>61605.2</v>
      </c>
      <c r="F9" s="17">
        <v>0</v>
      </c>
    </row>
    <row r="10" spans="1:6" ht="39" customHeight="1">
      <c r="A10" s="2">
        <v>8</v>
      </c>
      <c r="B10" s="5" t="s">
        <v>33</v>
      </c>
      <c r="C10" s="6" t="s">
        <v>26</v>
      </c>
      <c r="D10" s="2">
        <f t="shared" si="0"/>
        <v>83273.8</v>
      </c>
      <c r="E10" s="2">
        <v>83273.8</v>
      </c>
      <c r="F10" s="17">
        <v>0</v>
      </c>
    </row>
    <row r="11" spans="1:6" ht="39" customHeight="1">
      <c r="A11" s="2">
        <v>9</v>
      </c>
      <c r="B11" s="5" t="s">
        <v>34</v>
      </c>
      <c r="C11" s="6" t="s">
        <v>26</v>
      </c>
      <c r="D11" s="2">
        <f t="shared" si="0"/>
        <v>59220.7</v>
      </c>
      <c r="E11" s="2">
        <v>59220.7</v>
      </c>
      <c r="F11" s="17">
        <v>0</v>
      </c>
    </row>
    <row r="12" spans="1:6" ht="39" customHeight="1">
      <c r="A12" s="2">
        <v>10</v>
      </c>
      <c r="B12" s="5" t="s">
        <v>35</v>
      </c>
      <c r="C12" s="6" t="s">
        <v>26</v>
      </c>
      <c r="D12" s="2">
        <f t="shared" si="0"/>
        <v>139880.1</v>
      </c>
      <c r="E12" s="2">
        <v>139880.1</v>
      </c>
      <c r="F12" s="17">
        <v>0</v>
      </c>
    </row>
    <row r="13" spans="1:6" ht="39" customHeight="1">
      <c r="A13" s="2">
        <v>11</v>
      </c>
      <c r="B13" s="5" t="s">
        <v>36</v>
      </c>
      <c r="C13" s="6" t="s">
        <v>26</v>
      </c>
      <c r="D13" s="2">
        <f t="shared" si="0"/>
        <v>76766.8</v>
      </c>
      <c r="E13" s="2">
        <v>76766.8</v>
      </c>
      <c r="F13" s="17">
        <v>0</v>
      </c>
    </row>
    <row r="14" spans="1:6" ht="39" customHeight="1">
      <c r="A14" s="2">
        <v>12</v>
      </c>
      <c r="B14" s="5" t="s">
        <v>37</v>
      </c>
      <c r="C14" s="6" t="s">
        <v>26</v>
      </c>
      <c r="D14" s="2">
        <f t="shared" si="0"/>
        <v>37002.400000000001</v>
      </c>
      <c r="E14" s="2">
        <v>37002.400000000001</v>
      </c>
      <c r="F14" s="17">
        <v>0</v>
      </c>
    </row>
    <row r="15" spans="1:6" ht="39" customHeight="1">
      <c r="A15" s="2">
        <v>13</v>
      </c>
      <c r="B15" s="5" t="s">
        <v>38</v>
      </c>
      <c r="C15" s="6" t="s">
        <v>26</v>
      </c>
      <c r="D15" s="2">
        <f t="shared" si="0"/>
        <v>37905.699999999997</v>
      </c>
      <c r="E15" s="2">
        <v>37905.699999999997</v>
      </c>
      <c r="F15" s="17">
        <v>0</v>
      </c>
    </row>
    <row r="16" spans="1:6" ht="39" customHeight="1">
      <c r="A16" s="2">
        <v>14</v>
      </c>
      <c r="B16" s="5" t="s">
        <v>39</v>
      </c>
      <c r="C16" s="6" t="s">
        <v>26</v>
      </c>
      <c r="D16" s="2">
        <f t="shared" si="0"/>
        <v>42879.9</v>
      </c>
      <c r="E16" s="2">
        <v>42879.9</v>
      </c>
      <c r="F16" s="17">
        <v>0</v>
      </c>
    </row>
    <row r="17" spans="1:6" ht="39" customHeight="1">
      <c r="A17" s="2">
        <v>15</v>
      </c>
      <c r="B17" s="5" t="s">
        <v>40</v>
      </c>
      <c r="C17" s="6" t="s">
        <v>26</v>
      </c>
      <c r="D17" s="2">
        <f t="shared" si="0"/>
        <v>57155.199999999997</v>
      </c>
      <c r="E17" s="2">
        <v>57155.199999999997</v>
      </c>
      <c r="F17" s="17">
        <v>0</v>
      </c>
    </row>
    <row r="18" spans="1:6" ht="39" customHeight="1">
      <c r="A18" s="2">
        <v>16</v>
      </c>
      <c r="B18" s="5" t="s">
        <v>41</v>
      </c>
      <c r="C18" s="6" t="s">
        <v>26</v>
      </c>
      <c r="D18" s="2">
        <f t="shared" si="0"/>
        <v>34090.5</v>
      </c>
      <c r="E18" s="2">
        <v>34090.5</v>
      </c>
      <c r="F18" s="17">
        <v>0</v>
      </c>
    </row>
    <row r="19" spans="1:6" ht="39" customHeight="1">
      <c r="A19" s="2">
        <v>17</v>
      </c>
      <c r="B19" s="5" t="s">
        <v>42</v>
      </c>
      <c r="C19" s="6" t="s">
        <v>26</v>
      </c>
      <c r="D19" s="2">
        <f t="shared" si="0"/>
        <v>96071.9</v>
      </c>
      <c r="E19" s="2">
        <v>96071.9</v>
      </c>
      <c r="F19" s="17">
        <v>0</v>
      </c>
    </row>
    <row r="20" spans="1:6" ht="39" customHeight="1">
      <c r="A20" s="2">
        <v>18</v>
      </c>
      <c r="B20" s="5" t="s">
        <v>43</v>
      </c>
      <c r="C20" s="6" t="s">
        <v>26</v>
      </c>
      <c r="D20" s="2">
        <f t="shared" si="0"/>
        <v>59868.4</v>
      </c>
      <c r="E20" s="2">
        <v>59868.4</v>
      </c>
      <c r="F20" s="17">
        <v>0</v>
      </c>
    </row>
    <row r="21" spans="1:6" ht="39" customHeight="1">
      <c r="A21" s="2">
        <v>19</v>
      </c>
      <c r="B21" s="5" t="s">
        <v>44</v>
      </c>
      <c r="C21" s="6" t="s">
        <v>26</v>
      </c>
      <c r="D21" s="2">
        <f t="shared" si="0"/>
        <v>33832.199999999997</v>
      </c>
      <c r="E21" s="2">
        <v>33832.199999999997</v>
      </c>
      <c r="F21" s="17">
        <v>0</v>
      </c>
    </row>
    <row r="22" spans="1:6" ht="39" customHeight="1">
      <c r="A22" s="2">
        <v>20</v>
      </c>
      <c r="B22" s="5" t="s">
        <v>45</v>
      </c>
      <c r="C22" s="6" t="s">
        <v>26</v>
      </c>
      <c r="D22" s="2">
        <f t="shared" si="0"/>
        <v>43624.800000000003</v>
      </c>
      <c r="E22" s="2">
        <v>43624.800000000003</v>
      </c>
      <c r="F22" s="17">
        <v>0</v>
      </c>
    </row>
    <row r="23" spans="1:6" ht="39" customHeight="1">
      <c r="A23" s="2">
        <v>21</v>
      </c>
      <c r="B23" s="5" t="s">
        <v>46</v>
      </c>
      <c r="C23" s="6" t="s">
        <v>26</v>
      </c>
      <c r="D23" s="2">
        <f t="shared" si="0"/>
        <v>49633.7</v>
      </c>
      <c r="E23" s="2">
        <v>49633.7</v>
      </c>
      <c r="F23" s="17">
        <v>0</v>
      </c>
    </row>
    <row r="24" spans="1:6" ht="39" customHeight="1">
      <c r="A24" s="2">
        <v>22</v>
      </c>
      <c r="B24" s="5" t="s">
        <v>47</v>
      </c>
      <c r="C24" s="6" t="s">
        <v>26</v>
      </c>
      <c r="D24" s="2">
        <f t="shared" si="0"/>
        <v>43358.3</v>
      </c>
      <c r="E24" s="2">
        <v>43358.3</v>
      </c>
      <c r="F24" s="17">
        <v>0</v>
      </c>
    </row>
    <row r="25" spans="1:6" ht="39" customHeight="1">
      <c r="A25" s="2">
        <v>23</v>
      </c>
      <c r="B25" s="5" t="s">
        <v>48</v>
      </c>
      <c r="C25" s="6" t="s">
        <v>26</v>
      </c>
      <c r="D25" s="2">
        <f t="shared" si="0"/>
        <v>29883.8</v>
      </c>
      <c r="E25" s="2">
        <v>29883.8</v>
      </c>
      <c r="F25" s="17">
        <v>0</v>
      </c>
    </row>
    <row r="26" spans="1:6" ht="39" customHeight="1">
      <c r="A26" s="2">
        <v>24</v>
      </c>
      <c r="B26" s="5" t="s">
        <v>49</v>
      </c>
      <c r="C26" s="6" t="s">
        <v>26</v>
      </c>
      <c r="D26" s="2">
        <f t="shared" si="0"/>
        <v>43087.6</v>
      </c>
      <c r="E26" s="2">
        <v>43087.6</v>
      </c>
      <c r="F26" s="17">
        <v>0</v>
      </c>
    </row>
    <row r="27" spans="1:6" ht="39" customHeight="1">
      <c r="A27" s="2">
        <v>25</v>
      </c>
      <c r="B27" s="5" t="s">
        <v>50</v>
      </c>
      <c r="C27" s="6" t="s">
        <v>26</v>
      </c>
      <c r="D27" s="2">
        <f t="shared" si="0"/>
        <v>35429.5</v>
      </c>
      <c r="E27" s="2">
        <v>35429.5</v>
      </c>
      <c r="F27" s="17">
        <v>0</v>
      </c>
    </row>
    <row r="28" spans="1:6" ht="39" customHeight="1">
      <c r="A28" s="2">
        <v>26</v>
      </c>
      <c r="B28" s="5" t="s">
        <v>51</v>
      </c>
      <c r="C28" s="6" t="s">
        <v>26</v>
      </c>
      <c r="D28" s="2">
        <f t="shared" si="0"/>
        <v>68668.7</v>
      </c>
      <c r="E28" s="2">
        <v>68668.7</v>
      </c>
      <c r="F28" s="17">
        <v>0</v>
      </c>
    </row>
    <row r="29" spans="1:6" ht="39" customHeight="1">
      <c r="A29" s="2">
        <v>27</v>
      </c>
      <c r="B29" s="5" t="s">
        <v>52</v>
      </c>
      <c r="C29" s="6" t="s">
        <v>26</v>
      </c>
      <c r="D29" s="2">
        <f t="shared" si="0"/>
        <v>30144.6</v>
      </c>
      <c r="E29" s="2">
        <v>30144.6</v>
      </c>
      <c r="F29" s="17">
        <v>0</v>
      </c>
    </row>
    <row r="30" spans="1:6" ht="39" customHeight="1">
      <c r="A30" s="2">
        <v>28</v>
      </c>
      <c r="B30" s="5" t="s">
        <v>53</v>
      </c>
      <c r="C30" s="6" t="s">
        <v>26</v>
      </c>
      <c r="D30" s="2">
        <f t="shared" si="0"/>
        <v>21496.2</v>
      </c>
      <c r="E30" s="2">
        <v>21496.2</v>
      </c>
      <c r="F30" s="17">
        <v>0</v>
      </c>
    </row>
    <row r="31" spans="1:6" ht="39" customHeight="1">
      <c r="A31" s="2">
        <v>29</v>
      </c>
      <c r="B31" s="5" t="s">
        <v>54</v>
      </c>
      <c r="C31" s="6" t="s">
        <v>26</v>
      </c>
      <c r="D31" s="2">
        <f t="shared" si="0"/>
        <v>184906.3</v>
      </c>
      <c r="E31" s="2">
        <v>184906.3</v>
      </c>
      <c r="F31" s="17">
        <v>0</v>
      </c>
    </row>
    <row r="32" spans="1:6" ht="39" customHeight="1">
      <c r="A32" s="2">
        <v>30</v>
      </c>
      <c r="B32" s="5" t="s">
        <v>55</v>
      </c>
      <c r="C32" s="6" t="s">
        <v>26</v>
      </c>
      <c r="D32" s="2">
        <f t="shared" si="0"/>
        <v>33038.699999999997</v>
      </c>
      <c r="E32" s="2">
        <v>33038.699999999997</v>
      </c>
      <c r="F32" s="17">
        <v>0</v>
      </c>
    </row>
    <row r="33" spans="1:6" ht="39" customHeight="1">
      <c r="A33" s="2">
        <v>31</v>
      </c>
      <c r="B33" s="5" t="s">
        <v>56</v>
      </c>
      <c r="C33" s="6" t="s">
        <v>26</v>
      </c>
      <c r="D33" s="2">
        <f t="shared" si="0"/>
        <v>85291.6</v>
      </c>
      <c r="E33" s="2">
        <v>85291.6</v>
      </c>
      <c r="F33" s="17">
        <v>0</v>
      </c>
    </row>
    <row r="34" spans="1:6" ht="39" customHeight="1">
      <c r="A34" s="2">
        <v>32</v>
      </c>
      <c r="B34" s="5" t="s">
        <v>57</v>
      </c>
      <c r="C34" s="6" t="s">
        <v>26</v>
      </c>
      <c r="D34" s="2">
        <f t="shared" si="0"/>
        <v>258241.2</v>
      </c>
      <c r="E34" s="2">
        <v>258241.2</v>
      </c>
      <c r="F34" s="17">
        <v>0</v>
      </c>
    </row>
    <row r="35" spans="1:6" ht="39" customHeight="1">
      <c r="A35" s="2">
        <v>33</v>
      </c>
      <c r="B35" s="5" t="s">
        <v>58</v>
      </c>
      <c r="C35" s="6" t="s">
        <v>26</v>
      </c>
      <c r="D35" s="2">
        <f t="shared" si="0"/>
        <v>72113.2</v>
      </c>
      <c r="E35" s="2">
        <v>72113.2</v>
      </c>
      <c r="F35" s="17">
        <v>0</v>
      </c>
    </row>
    <row r="36" spans="1:6" ht="39" customHeight="1">
      <c r="A36" s="2">
        <v>34</v>
      </c>
      <c r="B36" s="5" t="s">
        <v>59</v>
      </c>
      <c r="C36" s="6" t="s">
        <v>26</v>
      </c>
      <c r="D36" s="2">
        <f t="shared" si="0"/>
        <v>51879.5</v>
      </c>
      <c r="E36" s="2">
        <v>51879.5</v>
      </c>
      <c r="F36" s="17">
        <v>0</v>
      </c>
    </row>
    <row r="37" spans="1:6" ht="39" customHeight="1">
      <c r="A37" s="2">
        <v>35</v>
      </c>
      <c r="B37" s="5" t="s">
        <v>84</v>
      </c>
      <c r="C37" s="6" t="s">
        <v>26</v>
      </c>
      <c r="D37" s="2">
        <f t="shared" si="0"/>
        <v>97739.1</v>
      </c>
      <c r="E37" s="2">
        <v>97739.1</v>
      </c>
      <c r="F37" s="17">
        <v>0</v>
      </c>
    </row>
    <row r="38" spans="1:6" ht="39" customHeight="1">
      <c r="A38" s="2">
        <v>36</v>
      </c>
      <c r="B38" s="5" t="s">
        <v>60</v>
      </c>
      <c r="C38" s="6" t="s">
        <v>26</v>
      </c>
      <c r="D38" s="2">
        <f t="shared" si="0"/>
        <v>102286.5</v>
      </c>
      <c r="E38" s="2">
        <v>102286.5</v>
      </c>
      <c r="F38" s="17">
        <v>0</v>
      </c>
    </row>
    <row r="39" spans="1:6" ht="55.5" customHeight="1">
      <c r="A39" s="2">
        <v>37</v>
      </c>
      <c r="B39" s="5" t="s">
        <v>61</v>
      </c>
      <c r="C39" s="8" t="s">
        <v>62</v>
      </c>
      <c r="D39" s="2">
        <f t="shared" si="0"/>
        <v>316940.3</v>
      </c>
      <c r="E39" s="17">
        <v>0</v>
      </c>
      <c r="F39" s="2">
        <v>316940.3</v>
      </c>
    </row>
    <row r="40" spans="1:6" ht="55.5" customHeight="1">
      <c r="A40" s="2">
        <v>38</v>
      </c>
      <c r="B40" s="5" t="s">
        <v>63</v>
      </c>
      <c r="C40" s="8" t="s">
        <v>62</v>
      </c>
      <c r="D40" s="2">
        <f t="shared" si="0"/>
        <v>252833.3</v>
      </c>
      <c r="E40" s="17">
        <v>0</v>
      </c>
      <c r="F40" s="2">
        <v>252833.3</v>
      </c>
    </row>
    <row r="41" spans="1:6" ht="55.5" customHeight="1">
      <c r="A41" s="2">
        <v>39</v>
      </c>
      <c r="B41" s="5" t="s">
        <v>64</v>
      </c>
      <c r="C41" s="8" t="s">
        <v>62</v>
      </c>
      <c r="D41" s="2">
        <f t="shared" si="0"/>
        <v>71917.3</v>
      </c>
      <c r="E41" s="17">
        <v>0</v>
      </c>
      <c r="F41" s="2">
        <v>71917.3</v>
      </c>
    </row>
    <row r="42" spans="1:6" ht="57" customHeight="1">
      <c r="A42" s="2">
        <v>40</v>
      </c>
      <c r="B42" s="5" t="s">
        <v>65</v>
      </c>
      <c r="C42" s="4" t="s">
        <v>66</v>
      </c>
      <c r="D42" s="2">
        <f t="shared" si="0"/>
        <v>7766.5</v>
      </c>
      <c r="E42" s="17">
        <v>0</v>
      </c>
      <c r="F42" s="2">
        <v>7766.5</v>
      </c>
    </row>
    <row r="43" spans="1:6" ht="57" customHeight="1">
      <c r="A43" s="2">
        <v>41</v>
      </c>
      <c r="B43" s="5" t="s">
        <v>67</v>
      </c>
      <c r="C43" s="4" t="s">
        <v>68</v>
      </c>
      <c r="D43" s="2">
        <f t="shared" si="0"/>
        <v>17630.2</v>
      </c>
      <c r="E43" s="17">
        <v>0</v>
      </c>
      <c r="F43" s="2">
        <v>17630.2</v>
      </c>
    </row>
    <row r="44" spans="1:6" ht="134.25" customHeight="1">
      <c r="A44" s="2">
        <v>42</v>
      </c>
      <c r="B44" s="5" t="s">
        <v>69</v>
      </c>
      <c r="C44" s="9" t="s">
        <v>317</v>
      </c>
      <c r="D44" s="2">
        <f t="shared" si="0"/>
        <v>7908.6</v>
      </c>
      <c r="E44" s="17">
        <v>0</v>
      </c>
      <c r="F44" s="2">
        <v>7908.6</v>
      </c>
    </row>
    <row r="45" spans="1:6" ht="134.25" customHeight="1">
      <c r="A45" s="2">
        <v>43</v>
      </c>
      <c r="B45" s="5" t="s">
        <v>70</v>
      </c>
      <c r="C45" s="9" t="s">
        <v>317</v>
      </c>
      <c r="D45" s="2">
        <f t="shared" si="0"/>
        <v>14374</v>
      </c>
      <c r="E45" s="17">
        <v>0</v>
      </c>
      <c r="F45" s="7">
        <v>14374</v>
      </c>
    </row>
    <row r="46" spans="1:6" ht="39" customHeight="1">
      <c r="A46" s="2">
        <v>44</v>
      </c>
      <c r="B46" s="5" t="s">
        <v>71</v>
      </c>
      <c r="C46" s="6" t="s">
        <v>72</v>
      </c>
      <c r="D46" s="2">
        <f t="shared" si="0"/>
        <v>32795</v>
      </c>
      <c r="E46" s="17">
        <v>0</v>
      </c>
      <c r="F46" s="2">
        <v>32795</v>
      </c>
    </row>
    <row r="47" spans="1:6" ht="39" customHeight="1">
      <c r="A47" s="2">
        <v>45</v>
      </c>
      <c r="B47" s="5" t="s">
        <v>73</v>
      </c>
      <c r="C47" s="6" t="s">
        <v>74</v>
      </c>
      <c r="D47" s="2">
        <f t="shared" si="0"/>
        <v>7244.5</v>
      </c>
      <c r="E47" s="17">
        <v>0</v>
      </c>
      <c r="F47" s="2">
        <v>7244.5</v>
      </c>
    </row>
    <row r="48" spans="1:6" ht="81" customHeight="1">
      <c r="A48" s="2">
        <v>46</v>
      </c>
      <c r="B48" s="3" t="s">
        <v>0</v>
      </c>
      <c r="C48" s="4" t="s">
        <v>1</v>
      </c>
      <c r="D48" s="2">
        <f t="shared" si="0"/>
        <v>199405.4</v>
      </c>
      <c r="E48" s="17">
        <v>0</v>
      </c>
      <c r="F48" s="10">
        <v>199405.4</v>
      </c>
    </row>
    <row r="49" spans="1:6" ht="57" customHeight="1">
      <c r="A49" s="2">
        <v>47</v>
      </c>
      <c r="B49" s="5" t="s">
        <v>2</v>
      </c>
      <c r="C49" s="6" t="s">
        <v>3</v>
      </c>
      <c r="D49" s="2">
        <f t="shared" si="0"/>
        <v>88384.5</v>
      </c>
      <c r="E49" s="17">
        <v>0</v>
      </c>
      <c r="F49" s="10">
        <v>88384.5</v>
      </c>
    </row>
    <row r="50" spans="1:6" ht="39" customHeight="1">
      <c r="A50" s="2">
        <v>48</v>
      </c>
      <c r="B50" s="3" t="s">
        <v>4</v>
      </c>
      <c r="C50" s="4" t="s">
        <v>5</v>
      </c>
      <c r="D50" s="2">
        <f t="shared" si="0"/>
        <v>20549.21</v>
      </c>
      <c r="E50" s="17">
        <v>0</v>
      </c>
      <c r="F50" s="10">
        <v>20549.21</v>
      </c>
    </row>
    <row r="51" spans="1:6" ht="39" customHeight="1">
      <c r="A51" s="2">
        <v>49</v>
      </c>
      <c r="B51" s="5" t="s">
        <v>6</v>
      </c>
      <c r="C51" s="4" t="s">
        <v>7</v>
      </c>
      <c r="D51" s="2">
        <f t="shared" si="0"/>
        <v>1950</v>
      </c>
      <c r="E51" s="17">
        <v>0</v>
      </c>
      <c r="F51" s="10">
        <v>1950</v>
      </c>
    </row>
    <row r="52" spans="1:6" ht="39" customHeight="1">
      <c r="A52" s="2">
        <v>50</v>
      </c>
      <c r="B52" s="5" t="s">
        <v>8</v>
      </c>
      <c r="C52" s="4" t="s">
        <v>7</v>
      </c>
      <c r="D52" s="2">
        <f t="shared" si="0"/>
        <v>1497</v>
      </c>
      <c r="E52" s="17">
        <v>0</v>
      </c>
      <c r="F52" s="10">
        <v>1497</v>
      </c>
    </row>
    <row r="53" spans="1:6" ht="39" customHeight="1">
      <c r="A53" s="2">
        <v>51</v>
      </c>
      <c r="B53" s="5" t="s">
        <v>9</v>
      </c>
      <c r="C53" s="4" t="s">
        <v>7</v>
      </c>
      <c r="D53" s="2">
        <f t="shared" si="0"/>
        <v>914</v>
      </c>
      <c r="E53" s="17">
        <v>0</v>
      </c>
      <c r="F53" s="10">
        <v>914</v>
      </c>
    </row>
    <row r="54" spans="1:6" ht="39" customHeight="1">
      <c r="A54" s="2">
        <v>52</v>
      </c>
      <c r="B54" s="5" t="s">
        <v>10</v>
      </c>
      <c r="C54" s="4" t="s">
        <v>7</v>
      </c>
      <c r="D54" s="2">
        <f t="shared" si="0"/>
        <v>2187.2759999999998</v>
      </c>
      <c r="E54" s="17">
        <v>0</v>
      </c>
      <c r="F54" s="10">
        <v>2187.2759999999998</v>
      </c>
    </row>
    <row r="55" spans="1:6" ht="39" customHeight="1">
      <c r="A55" s="2">
        <v>53</v>
      </c>
      <c r="B55" s="5" t="s">
        <v>11</v>
      </c>
      <c r="C55" s="4" t="s">
        <v>7</v>
      </c>
      <c r="D55" s="2">
        <f t="shared" si="0"/>
        <v>2210</v>
      </c>
      <c r="E55" s="17">
        <v>0</v>
      </c>
      <c r="F55" s="10">
        <v>2210</v>
      </c>
    </row>
    <row r="56" spans="1:6" ht="39" customHeight="1">
      <c r="A56" s="2">
        <v>54</v>
      </c>
      <c r="B56" s="5" t="s">
        <v>12</v>
      </c>
      <c r="C56" s="4" t="s">
        <v>7</v>
      </c>
      <c r="D56" s="2">
        <f t="shared" si="0"/>
        <v>2371</v>
      </c>
      <c r="E56" s="17">
        <v>0</v>
      </c>
      <c r="F56" s="10">
        <v>2371</v>
      </c>
    </row>
    <row r="57" spans="1:6" ht="39" customHeight="1">
      <c r="A57" s="2">
        <v>55</v>
      </c>
      <c r="B57" s="5" t="s">
        <v>13</v>
      </c>
      <c r="C57" s="4" t="s">
        <v>7</v>
      </c>
      <c r="D57" s="2">
        <f t="shared" si="0"/>
        <v>2326</v>
      </c>
      <c r="E57" s="17">
        <v>0</v>
      </c>
      <c r="F57" s="10">
        <v>2326</v>
      </c>
    </row>
    <row r="58" spans="1:6" ht="39" customHeight="1">
      <c r="A58" s="2">
        <v>56</v>
      </c>
      <c r="B58" s="5" t="s">
        <v>14</v>
      </c>
      <c r="C58" s="4" t="s">
        <v>7</v>
      </c>
      <c r="D58" s="2">
        <f t="shared" si="0"/>
        <v>1110</v>
      </c>
      <c r="E58" s="21">
        <v>0</v>
      </c>
      <c r="F58" s="10">
        <v>1110</v>
      </c>
    </row>
    <row r="59" spans="1:6" s="22" customFormat="1" ht="69.75" customHeight="1">
      <c r="A59" s="2">
        <v>57</v>
      </c>
      <c r="B59" s="28" t="s">
        <v>88</v>
      </c>
      <c r="C59" s="20" t="s">
        <v>89</v>
      </c>
      <c r="D59" s="2">
        <f t="shared" si="0"/>
        <v>117753.2</v>
      </c>
      <c r="E59" s="21">
        <v>117127.5</v>
      </c>
      <c r="F59" s="18">
        <f>625.7</f>
        <v>625.70000000000005</v>
      </c>
    </row>
    <row r="60" spans="1:6" s="22" customFormat="1" ht="39" customHeight="1">
      <c r="A60" s="2">
        <v>58</v>
      </c>
      <c r="B60" s="28" t="s">
        <v>90</v>
      </c>
      <c r="C60" s="20" t="s">
        <v>91</v>
      </c>
      <c r="D60" s="2">
        <f t="shared" si="0"/>
        <v>71402</v>
      </c>
      <c r="E60" s="21">
        <v>71402</v>
      </c>
      <c r="F60" s="18">
        <v>0</v>
      </c>
    </row>
    <row r="61" spans="1:6" s="22" customFormat="1" ht="69.75" customHeight="1">
      <c r="A61" s="2">
        <v>59</v>
      </c>
      <c r="B61" s="28" t="s">
        <v>92</v>
      </c>
      <c r="C61" s="20" t="s">
        <v>89</v>
      </c>
      <c r="D61" s="2">
        <f t="shared" si="0"/>
        <v>154226.30000000002</v>
      </c>
      <c r="E61" s="21">
        <v>154153.70000000001</v>
      </c>
      <c r="F61" s="18">
        <f>72.6</f>
        <v>72.599999999999994</v>
      </c>
    </row>
    <row r="62" spans="1:6" s="22" customFormat="1" ht="69.75" customHeight="1">
      <c r="A62" s="2">
        <v>60</v>
      </c>
      <c r="B62" s="28" t="s">
        <v>93</v>
      </c>
      <c r="C62" s="20" t="s">
        <v>89</v>
      </c>
      <c r="D62" s="2">
        <f t="shared" si="0"/>
        <v>63170.5</v>
      </c>
      <c r="E62" s="21">
        <v>62760.1</v>
      </c>
      <c r="F62" s="18">
        <f>410.4</f>
        <v>410.4</v>
      </c>
    </row>
    <row r="63" spans="1:6" s="22" customFormat="1" ht="39" customHeight="1">
      <c r="A63" s="2">
        <v>61</v>
      </c>
      <c r="B63" s="28" t="s">
        <v>94</v>
      </c>
      <c r="C63" s="20" t="s">
        <v>91</v>
      </c>
      <c r="D63" s="2">
        <f t="shared" si="0"/>
        <v>80934.7</v>
      </c>
      <c r="E63" s="21">
        <v>80934.7</v>
      </c>
      <c r="F63" s="18">
        <v>0</v>
      </c>
    </row>
    <row r="64" spans="1:6" s="22" customFormat="1" ht="69.75" customHeight="1">
      <c r="A64" s="2">
        <v>62</v>
      </c>
      <c r="B64" s="28" t="s">
        <v>95</v>
      </c>
      <c r="C64" s="20" t="s">
        <v>89</v>
      </c>
      <c r="D64" s="2">
        <f t="shared" si="0"/>
        <v>124649.2</v>
      </c>
      <c r="E64" s="21">
        <v>124226.5</v>
      </c>
      <c r="F64" s="18">
        <f>422.7</f>
        <v>422.7</v>
      </c>
    </row>
    <row r="65" spans="1:6" s="22" customFormat="1" ht="69.75" customHeight="1">
      <c r="A65" s="2">
        <v>63</v>
      </c>
      <c r="B65" s="28" t="s">
        <v>96</v>
      </c>
      <c r="C65" s="20" t="s">
        <v>89</v>
      </c>
      <c r="D65" s="2">
        <f t="shared" si="0"/>
        <v>100283.90000000001</v>
      </c>
      <c r="E65" s="21">
        <v>99011.6</v>
      </c>
      <c r="F65" s="18">
        <v>1272.3</v>
      </c>
    </row>
    <row r="66" spans="1:6" s="22" customFormat="1" ht="69.75" customHeight="1">
      <c r="A66" s="2">
        <v>64</v>
      </c>
      <c r="B66" s="28" t="s">
        <v>97</v>
      </c>
      <c r="C66" s="20" t="s">
        <v>89</v>
      </c>
      <c r="D66" s="2">
        <f t="shared" si="0"/>
        <v>151188.5</v>
      </c>
      <c r="E66" s="21">
        <v>148497.9</v>
      </c>
      <c r="F66" s="18">
        <f>2690.6</f>
        <v>2690.6</v>
      </c>
    </row>
    <row r="67" spans="1:6" s="22" customFormat="1" ht="69.75" customHeight="1">
      <c r="A67" s="2">
        <v>65</v>
      </c>
      <c r="B67" s="28" t="s">
        <v>98</v>
      </c>
      <c r="C67" s="20" t="s">
        <v>89</v>
      </c>
      <c r="D67" s="2">
        <f t="shared" si="0"/>
        <v>111704.8</v>
      </c>
      <c r="E67" s="21">
        <v>109615.2</v>
      </c>
      <c r="F67" s="18">
        <f>2089.6</f>
        <v>2089.6</v>
      </c>
    </row>
    <row r="68" spans="1:6" s="22" customFormat="1" ht="39" customHeight="1">
      <c r="A68" s="2">
        <v>66</v>
      </c>
      <c r="B68" s="28" t="s">
        <v>318</v>
      </c>
      <c r="C68" s="20" t="s">
        <v>99</v>
      </c>
      <c r="D68" s="2">
        <f t="shared" ref="D68:D131" si="1">E68+F68</f>
        <v>113791.9</v>
      </c>
      <c r="E68" s="21">
        <f>106031.7+7760.2</f>
        <v>113791.9</v>
      </c>
      <c r="F68" s="18">
        <v>0</v>
      </c>
    </row>
    <row r="69" spans="1:6" s="22" customFormat="1" ht="69.75" customHeight="1">
      <c r="A69" s="2">
        <v>67</v>
      </c>
      <c r="B69" s="28" t="s">
        <v>100</v>
      </c>
      <c r="C69" s="20" t="s">
        <v>89</v>
      </c>
      <c r="D69" s="2">
        <f t="shared" si="1"/>
        <v>85592.1</v>
      </c>
      <c r="E69" s="21">
        <v>85154.5</v>
      </c>
      <c r="F69" s="18">
        <f>437.6</f>
        <v>437.6</v>
      </c>
    </row>
    <row r="70" spans="1:6" s="22" customFormat="1" ht="69.75" customHeight="1">
      <c r="A70" s="2">
        <v>68</v>
      </c>
      <c r="B70" s="28" t="s">
        <v>101</v>
      </c>
      <c r="C70" s="20" t="s">
        <v>89</v>
      </c>
      <c r="D70" s="2">
        <f t="shared" si="1"/>
        <v>60808.200000000004</v>
      </c>
      <c r="E70" s="21">
        <v>60677.8</v>
      </c>
      <c r="F70" s="18">
        <f>130.4</f>
        <v>130.4</v>
      </c>
    </row>
    <row r="71" spans="1:6" s="22" customFormat="1" ht="104.25" customHeight="1">
      <c r="A71" s="2">
        <v>69</v>
      </c>
      <c r="B71" s="28" t="s">
        <v>102</v>
      </c>
      <c r="C71" s="20" t="s">
        <v>103</v>
      </c>
      <c r="D71" s="2">
        <f t="shared" si="1"/>
        <v>127544</v>
      </c>
      <c r="E71" s="21">
        <f>103705.6</f>
        <v>103705.60000000001</v>
      </c>
      <c r="F71" s="18">
        <f>23555.9+282.5</f>
        <v>23838.400000000001</v>
      </c>
    </row>
    <row r="72" spans="1:6" s="22" customFormat="1" ht="69.75" customHeight="1">
      <c r="A72" s="2">
        <v>70</v>
      </c>
      <c r="B72" s="28" t="s">
        <v>104</v>
      </c>
      <c r="C72" s="20" t="s">
        <v>89</v>
      </c>
      <c r="D72" s="2">
        <f t="shared" si="1"/>
        <v>74231.099999999991</v>
      </c>
      <c r="E72" s="21">
        <v>73908.399999999994</v>
      </c>
      <c r="F72" s="18">
        <f>322.7</f>
        <v>322.7</v>
      </c>
    </row>
    <row r="73" spans="1:6" s="22" customFormat="1" ht="69.75" customHeight="1">
      <c r="A73" s="2">
        <v>71</v>
      </c>
      <c r="B73" s="28" t="s">
        <v>105</v>
      </c>
      <c r="C73" s="20" t="s">
        <v>89</v>
      </c>
      <c r="D73" s="2">
        <f t="shared" si="1"/>
        <v>54236</v>
      </c>
      <c r="E73" s="21">
        <v>53949</v>
      </c>
      <c r="F73" s="18">
        <f>287</f>
        <v>287</v>
      </c>
    </row>
    <row r="74" spans="1:6" s="22" customFormat="1" ht="39" customHeight="1">
      <c r="A74" s="2">
        <v>72</v>
      </c>
      <c r="B74" s="28" t="s">
        <v>106</v>
      </c>
      <c r="C74" s="20" t="s">
        <v>91</v>
      </c>
      <c r="D74" s="2">
        <f t="shared" si="1"/>
        <v>83901.5</v>
      </c>
      <c r="E74" s="21">
        <v>83901.5</v>
      </c>
      <c r="F74" s="18">
        <v>0</v>
      </c>
    </row>
    <row r="75" spans="1:6" s="22" customFormat="1" ht="69.75" customHeight="1">
      <c r="A75" s="2">
        <v>73</v>
      </c>
      <c r="B75" s="28" t="s">
        <v>107</v>
      </c>
      <c r="C75" s="20" t="s">
        <v>89</v>
      </c>
      <c r="D75" s="2">
        <f t="shared" si="1"/>
        <v>130881.3</v>
      </c>
      <c r="E75" s="21">
        <v>130566.7</v>
      </c>
      <c r="F75" s="18">
        <v>314.60000000000002</v>
      </c>
    </row>
    <row r="76" spans="1:6" s="22" customFormat="1" ht="39" customHeight="1">
      <c r="A76" s="2">
        <v>74</v>
      </c>
      <c r="B76" s="28" t="s">
        <v>108</v>
      </c>
      <c r="C76" s="20" t="s">
        <v>91</v>
      </c>
      <c r="D76" s="2">
        <f t="shared" si="1"/>
        <v>59857.599999999999</v>
      </c>
      <c r="E76" s="21">
        <v>59857.599999999999</v>
      </c>
      <c r="F76" s="18">
        <v>0</v>
      </c>
    </row>
    <row r="77" spans="1:6" s="22" customFormat="1" ht="69.75" customHeight="1">
      <c r="A77" s="2">
        <v>75</v>
      </c>
      <c r="B77" s="28" t="s">
        <v>109</v>
      </c>
      <c r="C77" s="20" t="s">
        <v>89</v>
      </c>
      <c r="D77" s="2">
        <f t="shared" si="1"/>
        <v>107598.1</v>
      </c>
      <c r="E77" s="21">
        <v>105574.3</v>
      </c>
      <c r="F77" s="18">
        <v>2023.8</v>
      </c>
    </row>
    <row r="78" spans="1:6" s="22" customFormat="1" ht="69.75" customHeight="1">
      <c r="A78" s="2">
        <v>76</v>
      </c>
      <c r="B78" s="28" t="s">
        <v>110</v>
      </c>
      <c r="C78" s="20" t="s">
        <v>111</v>
      </c>
      <c r="D78" s="2">
        <f t="shared" si="1"/>
        <v>206884.59999999998</v>
      </c>
      <c r="E78" s="21">
        <v>206417.3</v>
      </c>
      <c r="F78" s="18">
        <v>467.3</v>
      </c>
    </row>
    <row r="79" spans="1:6" s="22" customFormat="1" ht="69.75" customHeight="1">
      <c r="A79" s="2">
        <v>77</v>
      </c>
      <c r="B79" s="28" t="s">
        <v>112</v>
      </c>
      <c r="C79" s="20" t="s">
        <v>113</v>
      </c>
      <c r="D79" s="2">
        <f t="shared" si="1"/>
        <v>110865.5</v>
      </c>
      <c r="E79" s="21">
        <v>110679.5</v>
      </c>
      <c r="F79" s="18">
        <f>186</f>
        <v>186</v>
      </c>
    </row>
    <row r="80" spans="1:6" s="22" customFormat="1" ht="69.75" customHeight="1">
      <c r="A80" s="2">
        <v>78</v>
      </c>
      <c r="B80" s="28" t="s">
        <v>114</v>
      </c>
      <c r="C80" s="20" t="s">
        <v>89</v>
      </c>
      <c r="D80" s="2">
        <f t="shared" si="1"/>
        <v>114724.6</v>
      </c>
      <c r="E80" s="21">
        <v>112226.5</v>
      </c>
      <c r="F80" s="18">
        <f>2498.1</f>
        <v>2498.1</v>
      </c>
    </row>
    <row r="81" spans="1:6" s="22" customFormat="1" ht="69.75" customHeight="1">
      <c r="A81" s="2">
        <v>79</v>
      </c>
      <c r="B81" s="28" t="s">
        <v>115</v>
      </c>
      <c r="C81" s="20" t="s">
        <v>89</v>
      </c>
      <c r="D81" s="2">
        <f t="shared" si="1"/>
        <v>58395.199999999997</v>
      </c>
      <c r="E81" s="21">
        <v>58055.6</v>
      </c>
      <c r="F81" s="18">
        <f>339.6</f>
        <v>339.6</v>
      </c>
    </row>
    <row r="82" spans="1:6" s="22" customFormat="1" ht="69.75" customHeight="1">
      <c r="A82" s="2">
        <v>80</v>
      </c>
      <c r="B82" s="28" t="s">
        <v>116</v>
      </c>
      <c r="C82" s="20" t="s">
        <v>89</v>
      </c>
      <c r="D82" s="2">
        <f t="shared" si="1"/>
        <v>99530.599999999991</v>
      </c>
      <c r="E82" s="21">
        <v>99375.2</v>
      </c>
      <c r="F82" s="18">
        <f>155.4</f>
        <v>155.4</v>
      </c>
    </row>
    <row r="83" spans="1:6" s="22" customFormat="1" ht="69.75" customHeight="1">
      <c r="A83" s="2">
        <v>81</v>
      </c>
      <c r="B83" s="28" t="s">
        <v>117</v>
      </c>
      <c r="C83" s="20" t="s">
        <v>89</v>
      </c>
      <c r="D83" s="2">
        <f t="shared" si="1"/>
        <v>66586.8</v>
      </c>
      <c r="E83" s="21">
        <v>65869.600000000006</v>
      </c>
      <c r="F83" s="18">
        <f>717.2</f>
        <v>717.2</v>
      </c>
    </row>
    <row r="84" spans="1:6" s="22" customFormat="1" ht="69.75" customHeight="1">
      <c r="A84" s="2">
        <v>82</v>
      </c>
      <c r="B84" s="28" t="s">
        <v>118</v>
      </c>
      <c r="C84" s="20" t="s">
        <v>89</v>
      </c>
      <c r="D84" s="2">
        <f t="shared" si="1"/>
        <v>121960.79999999999</v>
      </c>
      <c r="E84" s="21">
        <v>121534.39999999999</v>
      </c>
      <c r="F84" s="18">
        <f>426.4</f>
        <v>426.4</v>
      </c>
    </row>
    <row r="85" spans="1:6" s="22" customFormat="1" ht="69.75" customHeight="1">
      <c r="A85" s="2">
        <v>83</v>
      </c>
      <c r="B85" s="28" t="s">
        <v>119</v>
      </c>
      <c r="C85" s="20" t="s">
        <v>89</v>
      </c>
      <c r="D85" s="2">
        <f t="shared" si="1"/>
        <v>107795.1</v>
      </c>
      <c r="E85" s="21">
        <v>106771.6</v>
      </c>
      <c r="F85" s="18">
        <f>1023.5</f>
        <v>1023.5</v>
      </c>
    </row>
    <row r="86" spans="1:6" s="22" customFormat="1" ht="69.75" customHeight="1">
      <c r="A86" s="2">
        <v>84</v>
      </c>
      <c r="B86" s="28" t="s">
        <v>120</v>
      </c>
      <c r="C86" s="20" t="s">
        <v>89</v>
      </c>
      <c r="D86" s="2">
        <f t="shared" si="1"/>
        <v>133218.79999999999</v>
      </c>
      <c r="E86" s="21">
        <v>132469.4</v>
      </c>
      <c r="F86" s="18">
        <f>749.4</f>
        <v>749.4</v>
      </c>
    </row>
    <row r="87" spans="1:6" s="22" customFormat="1" ht="69.75" customHeight="1">
      <c r="A87" s="2">
        <v>85</v>
      </c>
      <c r="B87" s="28" t="s">
        <v>121</v>
      </c>
      <c r="C87" s="20" t="s">
        <v>89</v>
      </c>
      <c r="D87" s="2">
        <f t="shared" si="1"/>
        <v>98798.1</v>
      </c>
      <c r="E87" s="21">
        <v>98537</v>
      </c>
      <c r="F87" s="18">
        <f>261.1</f>
        <v>261.10000000000002</v>
      </c>
    </row>
    <row r="88" spans="1:6" s="22" customFormat="1" ht="69.75" customHeight="1">
      <c r="A88" s="2">
        <v>86</v>
      </c>
      <c r="B88" s="28" t="s">
        <v>122</v>
      </c>
      <c r="C88" s="20" t="s">
        <v>89</v>
      </c>
      <c r="D88" s="2">
        <f t="shared" si="1"/>
        <v>192356.7</v>
      </c>
      <c r="E88" s="21">
        <v>191073.5</v>
      </c>
      <c r="F88" s="18">
        <f>1283.2</f>
        <v>1283.2</v>
      </c>
    </row>
    <row r="89" spans="1:6" s="22" customFormat="1" ht="69.75" customHeight="1">
      <c r="A89" s="2">
        <v>87</v>
      </c>
      <c r="B89" s="28" t="s">
        <v>123</v>
      </c>
      <c r="C89" s="20" t="s">
        <v>89</v>
      </c>
      <c r="D89" s="2">
        <f t="shared" si="1"/>
        <v>118622.6</v>
      </c>
      <c r="E89" s="21">
        <v>117687</v>
      </c>
      <c r="F89" s="18">
        <f>935.6</f>
        <v>935.6</v>
      </c>
    </row>
    <row r="90" spans="1:6" s="22" customFormat="1" ht="69.75" customHeight="1">
      <c r="A90" s="2">
        <v>88</v>
      </c>
      <c r="B90" s="28" t="s">
        <v>124</v>
      </c>
      <c r="C90" s="20" t="s">
        <v>89</v>
      </c>
      <c r="D90" s="2">
        <f t="shared" si="1"/>
        <v>73749.5</v>
      </c>
      <c r="E90" s="21">
        <v>73225.600000000006</v>
      </c>
      <c r="F90" s="18">
        <f>523.9</f>
        <v>523.9</v>
      </c>
    </row>
    <row r="91" spans="1:6" s="22" customFormat="1" ht="83.25" customHeight="1">
      <c r="A91" s="2">
        <v>89</v>
      </c>
      <c r="B91" s="28" t="s">
        <v>320</v>
      </c>
      <c r="C91" s="20" t="s">
        <v>125</v>
      </c>
      <c r="D91" s="2">
        <f t="shared" si="1"/>
        <v>173181.3</v>
      </c>
      <c r="E91" s="21">
        <v>171784.8</v>
      </c>
      <c r="F91" s="18">
        <f>1396.5</f>
        <v>1396.5</v>
      </c>
    </row>
    <row r="92" spans="1:6" s="22" customFormat="1" ht="69.75" customHeight="1">
      <c r="A92" s="2">
        <v>90</v>
      </c>
      <c r="B92" s="28" t="s">
        <v>321</v>
      </c>
      <c r="C92" s="20" t="s">
        <v>89</v>
      </c>
      <c r="D92" s="2">
        <f t="shared" si="1"/>
        <v>259144.7</v>
      </c>
      <c r="E92" s="21">
        <v>258547</v>
      </c>
      <c r="F92" s="18">
        <f>597.7</f>
        <v>597.70000000000005</v>
      </c>
    </row>
    <row r="93" spans="1:6" s="22" customFormat="1" ht="69.75" customHeight="1">
      <c r="A93" s="2">
        <v>91</v>
      </c>
      <c r="B93" s="28" t="s">
        <v>322</v>
      </c>
      <c r="C93" s="20" t="s">
        <v>89</v>
      </c>
      <c r="D93" s="2">
        <f t="shared" si="1"/>
        <v>157858.70000000001</v>
      </c>
      <c r="E93" s="21">
        <v>156675</v>
      </c>
      <c r="F93" s="18">
        <f>1183.7</f>
        <v>1183.7</v>
      </c>
    </row>
    <row r="94" spans="1:6" s="22" customFormat="1" ht="216" customHeight="1">
      <c r="A94" s="2">
        <v>92</v>
      </c>
      <c r="B94" s="28" t="s">
        <v>126</v>
      </c>
      <c r="C94" s="20" t="s">
        <v>127</v>
      </c>
      <c r="D94" s="2">
        <f t="shared" si="1"/>
        <v>87695.799999999988</v>
      </c>
      <c r="E94" s="21">
        <v>75788.899999999994</v>
      </c>
      <c r="F94" s="18">
        <f>330.4+11576.5</f>
        <v>11906.9</v>
      </c>
    </row>
    <row r="95" spans="1:6" s="22" customFormat="1" ht="69.75" customHeight="1">
      <c r="A95" s="2">
        <v>93</v>
      </c>
      <c r="B95" s="28" t="s">
        <v>128</v>
      </c>
      <c r="C95" s="20" t="s">
        <v>89</v>
      </c>
      <c r="D95" s="2">
        <f t="shared" si="1"/>
        <v>125154.3</v>
      </c>
      <c r="E95" s="21">
        <v>124020.2</v>
      </c>
      <c r="F95" s="18">
        <f>1134.1</f>
        <v>1134.0999999999999</v>
      </c>
    </row>
    <row r="96" spans="1:6" s="22" customFormat="1" ht="57" customHeight="1">
      <c r="A96" s="2">
        <v>94</v>
      </c>
      <c r="B96" s="28" t="s">
        <v>319</v>
      </c>
      <c r="C96" s="20" t="s">
        <v>129</v>
      </c>
      <c r="D96" s="2">
        <f t="shared" si="1"/>
        <v>71498.7</v>
      </c>
      <c r="E96" s="21">
        <f>69946.7+1552</f>
        <v>71498.7</v>
      </c>
      <c r="F96" s="18">
        <v>0</v>
      </c>
    </row>
    <row r="97" spans="1:6" s="22" customFormat="1" ht="57" customHeight="1">
      <c r="A97" s="2">
        <v>95</v>
      </c>
      <c r="B97" s="28" t="s">
        <v>130</v>
      </c>
      <c r="C97" s="20" t="s">
        <v>131</v>
      </c>
      <c r="D97" s="2">
        <f t="shared" si="1"/>
        <v>658343.1</v>
      </c>
      <c r="E97" s="21">
        <f>530888.4</f>
        <v>530888.4</v>
      </c>
      <c r="F97" s="18">
        <v>127454.7</v>
      </c>
    </row>
    <row r="98" spans="1:6" s="22" customFormat="1" ht="69.75" customHeight="1">
      <c r="A98" s="2">
        <v>96</v>
      </c>
      <c r="B98" s="28" t="s">
        <v>132</v>
      </c>
      <c r="C98" s="20" t="s">
        <v>89</v>
      </c>
      <c r="D98" s="2">
        <f t="shared" si="1"/>
        <v>109244.79999999999</v>
      </c>
      <c r="E98" s="21">
        <v>108888.4</v>
      </c>
      <c r="F98" s="18">
        <v>356.4</v>
      </c>
    </row>
    <row r="99" spans="1:6" s="22" customFormat="1" ht="104.25" customHeight="1">
      <c r="A99" s="2">
        <v>97</v>
      </c>
      <c r="B99" s="28" t="s">
        <v>133</v>
      </c>
      <c r="C99" s="20" t="s">
        <v>134</v>
      </c>
      <c r="D99" s="2">
        <f t="shared" si="1"/>
        <v>70006.799999999988</v>
      </c>
      <c r="E99" s="21">
        <f>69348.4</f>
        <v>69348.399999999994</v>
      </c>
      <c r="F99" s="18">
        <f>505.3+153.1</f>
        <v>658.4</v>
      </c>
    </row>
    <row r="100" spans="1:6" s="22" customFormat="1" ht="104.25" customHeight="1">
      <c r="A100" s="2">
        <v>98</v>
      </c>
      <c r="B100" s="28" t="s">
        <v>135</v>
      </c>
      <c r="C100" s="20" t="s">
        <v>134</v>
      </c>
      <c r="D100" s="2">
        <f t="shared" si="1"/>
        <v>46028.5</v>
      </c>
      <c r="E100" s="21">
        <f>45323.2</f>
        <v>45323.199999999997</v>
      </c>
      <c r="F100" s="18">
        <f>375.3+330</f>
        <v>705.3</v>
      </c>
    </row>
    <row r="101" spans="1:6" s="22" customFormat="1" ht="104.25" customHeight="1">
      <c r="A101" s="2">
        <v>99</v>
      </c>
      <c r="B101" s="28" t="s">
        <v>136</v>
      </c>
      <c r="C101" s="20" t="s">
        <v>134</v>
      </c>
      <c r="D101" s="2">
        <f t="shared" si="1"/>
        <v>69820.5</v>
      </c>
      <c r="E101" s="21">
        <f>68555.8</f>
        <v>68555.8</v>
      </c>
      <c r="F101" s="18">
        <f>214.4+1050.3</f>
        <v>1264.7</v>
      </c>
    </row>
    <row r="102" spans="1:6" s="22" customFormat="1" ht="69.75" customHeight="1">
      <c r="A102" s="2">
        <v>100</v>
      </c>
      <c r="B102" s="28" t="s">
        <v>137</v>
      </c>
      <c r="C102" s="20" t="s">
        <v>138</v>
      </c>
      <c r="D102" s="2">
        <f t="shared" si="1"/>
        <v>72736.599999999991</v>
      </c>
      <c r="E102" s="21">
        <f>72682.9</f>
        <v>72682.899999999994</v>
      </c>
      <c r="F102" s="18">
        <v>53.7</v>
      </c>
    </row>
    <row r="103" spans="1:6" s="22" customFormat="1" ht="39" customHeight="1">
      <c r="A103" s="2">
        <v>101</v>
      </c>
      <c r="B103" s="28" t="s">
        <v>139</v>
      </c>
      <c r="C103" s="20" t="s">
        <v>91</v>
      </c>
      <c r="D103" s="2">
        <f t="shared" si="1"/>
        <v>76234.3</v>
      </c>
      <c r="E103" s="21">
        <v>76234.3</v>
      </c>
      <c r="F103" s="18">
        <v>0</v>
      </c>
    </row>
    <row r="104" spans="1:6" s="22" customFormat="1" ht="98.25" customHeight="1">
      <c r="A104" s="2">
        <v>102</v>
      </c>
      <c r="B104" s="28" t="s">
        <v>140</v>
      </c>
      <c r="C104" s="20" t="s">
        <v>134</v>
      </c>
      <c r="D104" s="2">
        <f t="shared" si="1"/>
        <v>41354.100000000006</v>
      </c>
      <c r="E104" s="21">
        <v>40991.800000000003</v>
      </c>
      <c r="F104" s="18">
        <f>83.9+278.4</f>
        <v>362.29999999999995</v>
      </c>
    </row>
    <row r="105" spans="1:6" s="22" customFormat="1" ht="69.75" customHeight="1">
      <c r="A105" s="2">
        <v>103</v>
      </c>
      <c r="B105" s="28" t="s">
        <v>141</v>
      </c>
      <c r="C105" s="20" t="s">
        <v>89</v>
      </c>
      <c r="D105" s="2">
        <f t="shared" si="1"/>
        <v>75211</v>
      </c>
      <c r="E105" s="21">
        <v>73732.600000000006</v>
      </c>
      <c r="F105" s="18">
        <v>1478.4</v>
      </c>
    </row>
    <row r="106" spans="1:6" s="22" customFormat="1" ht="69.75" customHeight="1">
      <c r="A106" s="2">
        <v>104</v>
      </c>
      <c r="B106" s="28" t="s">
        <v>142</v>
      </c>
      <c r="C106" s="20" t="s">
        <v>89</v>
      </c>
      <c r="D106" s="2">
        <f t="shared" si="1"/>
        <v>82775.200000000012</v>
      </c>
      <c r="E106" s="21">
        <v>82225.100000000006</v>
      </c>
      <c r="F106" s="18">
        <v>550.1</v>
      </c>
    </row>
    <row r="107" spans="1:6" s="22" customFormat="1" ht="104.25" customHeight="1">
      <c r="A107" s="2">
        <v>105</v>
      </c>
      <c r="B107" s="28" t="s">
        <v>143</v>
      </c>
      <c r="C107" s="20" t="s">
        <v>134</v>
      </c>
      <c r="D107" s="2">
        <f t="shared" si="1"/>
        <v>72646.400000000009</v>
      </c>
      <c r="E107" s="21">
        <f>72319.8</f>
        <v>72319.8</v>
      </c>
      <c r="F107" s="18">
        <f>169.5+157.1</f>
        <v>326.60000000000002</v>
      </c>
    </row>
    <row r="108" spans="1:6" s="22" customFormat="1" ht="104.25" customHeight="1">
      <c r="A108" s="2">
        <v>106</v>
      </c>
      <c r="B108" s="28" t="s">
        <v>144</v>
      </c>
      <c r="C108" s="20" t="s">
        <v>134</v>
      </c>
      <c r="D108" s="2">
        <f t="shared" si="1"/>
        <v>82312.800000000003</v>
      </c>
      <c r="E108" s="21">
        <v>81712</v>
      </c>
      <c r="F108" s="18">
        <f>27.1+573.7</f>
        <v>600.80000000000007</v>
      </c>
    </row>
    <row r="109" spans="1:6" s="22" customFormat="1" ht="69.75" customHeight="1">
      <c r="A109" s="2">
        <v>107</v>
      </c>
      <c r="B109" s="28" t="s">
        <v>145</v>
      </c>
      <c r="C109" s="20" t="s">
        <v>138</v>
      </c>
      <c r="D109" s="2">
        <f t="shared" si="1"/>
        <v>103888.5</v>
      </c>
      <c r="E109" s="21">
        <f>103658.4</f>
        <v>103658.4</v>
      </c>
      <c r="F109" s="18">
        <v>230.1</v>
      </c>
    </row>
    <row r="110" spans="1:6" s="22" customFormat="1" ht="69.75" customHeight="1">
      <c r="A110" s="2">
        <v>108</v>
      </c>
      <c r="B110" s="28" t="s">
        <v>146</v>
      </c>
      <c r="C110" s="20" t="s">
        <v>138</v>
      </c>
      <c r="D110" s="2">
        <f t="shared" si="1"/>
        <v>70465.7</v>
      </c>
      <c r="E110" s="21">
        <f>70360.9</f>
        <v>70360.899999999994</v>
      </c>
      <c r="F110" s="18">
        <v>104.8</v>
      </c>
    </row>
    <row r="111" spans="1:6" s="22" customFormat="1" ht="39" customHeight="1">
      <c r="A111" s="2">
        <v>109</v>
      </c>
      <c r="B111" s="28" t="s">
        <v>147</v>
      </c>
      <c r="C111" s="20" t="s">
        <v>91</v>
      </c>
      <c r="D111" s="2">
        <f t="shared" si="1"/>
        <v>69210.600000000006</v>
      </c>
      <c r="E111" s="21">
        <v>69210.600000000006</v>
      </c>
      <c r="F111" s="18">
        <v>0</v>
      </c>
    </row>
    <row r="112" spans="1:6" s="22" customFormat="1" ht="69.75" customHeight="1">
      <c r="A112" s="2">
        <v>110</v>
      </c>
      <c r="B112" s="28" t="s">
        <v>148</v>
      </c>
      <c r="C112" s="20" t="s">
        <v>89</v>
      </c>
      <c r="D112" s="2">
        <f t="shared" si="1"/>
        <v>67782.3</v>
      </c>
      <c r="E112" s="21">
        <v>66488.5</v>
      </c>
      <c r="F112" s="18">
        <v>1293.8</v>
      </c>
    </row>
    <row r="113" spans="1:6" s="22" customFormat="1" ht="104.25" customHeight="1">
      <c r="A113" s="2">
        <v>111</v>
      </c>
      <c r="B113" s="28" t="s">
        <v>149</v>
      </c>
      <c r="C113" s="20" t="s">
        <v>134</v>
      </c>
      <c r="D113" s="2">
        <f t="shared" si="1"/>
        <v>80089.5</v>
      </c>
      <c r="E113" s="21">
        <f>76915.3</f>
        <v>76915.3</v>
      </c>
      <c r="F113" s="18">
        <f>192.3+2981.9</f>
        <v>3174.2000000000003</v>
      </c>
    </row>
    <row r="114" spans="1:6" s="22" customFormat="1" ht="91.5" customHeight="1">
      <c r="A114" s="2">
        <v>112</v>
      </c>
      <c r="B114" s="28" t="s">
        <v>150</v>
      </c>
      <c r="C114" s="20" t="s">
        <v>125</v>
      </c>
      <c r="D114" s="2">
        <f t="shared" si="1"/>
        <v>96973.7</v>
      </c>
      <c r="E114" s="21">
        <v>96706</v>
      </c>
      <c r="F114" s="18">
        <v>267.7</v>
      </c>
    </row>
    <row r="115" spans="1:6" s="22" customFormat="1" ht="69.75" customHeight="1">
      <c r="A115" s="2">
        <v>113</v>
      </c>
      <c r="B115" s="28" t="s">
        <v>151</v>
      </c>
      <c r="C115" s="20" t="s">
        <v>138</v>
      </c>
      <c r="D115" s="2">
        <f t="shared" si="1"/>
        <v>49148.1</v>
      </c>
      <c r="E115" s="21">
        <f>49105.7</f>
        <v>49105.7</v>
      </c>
      <c r="F115" s="18">
        <v>42.4</v>
      </c>
    </row>
    <row r="116" spans="1:6" s="22" customFormat="1" ht="99">
      <c r="A116" s="2">
        <v>114</v>
      </c>
      <c r="B116" s="28" t="s">
        <v>152</v>
      </c>
      <c r="C116" s="20" t="s">
        <v>134</v>
      </c>
      <c r="D116" s="2">
        <f t="shared" si="1"/>
        <v>60770.400000000001</v>
      </c>
      <c r="E116" s="21">
        <f>59919.1</f>
        <v>59919.1</v>
      </c>
      <c r="F116" s="18">
        <f>21.6+829.7</f>
        <v>851.30000000000007</v>
      </c>
    </row>
    <row r="117" spans="1:6" s="22" customFormat="1" ht="39" customHeight="1">
      <c r="A117" s="2">
        <v>115</v>
      </c>
      <c r="B117" s="28" t="s">
        <v>153</v>
      </c>
      <c r="C117" s="20" t="s">
        <v>91</v>
      </c>
      <c r="D117" s="2">
        <f t="shared" si="1"/>
        <v>51980.6</v>
      </c>
      <c r="E117" s="21">
        <v>51980.6</v>
      </c>
      <c r="F117" s="18">
        <v>0</v>
      </c>
    </row>
    <row r="118" spans="1:6" s="22" customFormat="1" ht="69.75" customHeight="1">
      <c r="A118" s="2">
        <v>116</v>
      </c>
      <c r="B118" s="28" t="s">
        <v>154</v>
      </c>
      <c r="C118" s="20" t="s">
        <v>89</v>
      </c>
      <c r="D118" s="2">
        <f t="shared" si="1"/>
        <v>79220.900000000009</v>
      </c>
      <c r="E118" s="21">
        <v>77650.100000000006</v>
      </c>
      <c r="F118" s="18">
        <f>1570.8</f>
        <v>1570.8</v>
      </c>
    </row>
    <row r="119" spans="1:6" s="22" customFormat="1" ht="69.75" customHeight="1">
      <c r="A119" s="2">
        <v>117</v>
      </c>
      <c r="B119" s="28" t="s">
        <v>155</v>
      </c>
      <c r="C119" s="20" t="s">
        <v>156</v>
      </c>
      <c r="D119" s="2">
        <f t="shared" si="1"/>
        <v>51037.8</v>
      </c>
      <c r="E119" s="21">
        <f>49428.2+346.3+1263.3</f>
        <v>51037.8</v>
      </c>
      <c r="F119" s="18">
        <v>0</v>
      </c>
    </row>
    <row r="120" spans="1:6" s="22" customFormat="1" ht="104.25" customHeight="1">
      <c r="A120" s="2">
        <v>118</v>
      </c>
      <c r="B120" s="28" t="s">
        <v>157</v>
      </c>
      <c r="C120" s="20" t="s">
        <v>134</v>
      </c>
      <c r="D120" s="2">
        <f t="shared" si="1"/>
        <v>82846.5</v>
      </c>
      <c r="E120" s="21">
        <f>81502.8</f>
        <v>81502.8</v>
      </c>
      <c r="F120" s="18">
        <f>42.4+1301.3</f>
        <v>1343.7</v>
      </c>
    </row>
    <row r="121" spans="1:6" s="22" customFormat="1" ht="69.75" customHeight="1">
      <c r="A121" s="2">
        <v>119</v>
      </c>
      <c r="B121" s="28" t="s">
        <v>158</v>
      </c>
      <c r="C121" s="20" t="s">
        <v>89</v>
      </c>
      <c r="D121" s="2">
        <f t="shared" si="1"/>
        <v>48198.1</v>
      </c>
      <c r="E121" s="21">
        <v>47255.199999999997</v>
      </c>
      <c r="F121" s="18">
        <f>942.9</f>
        <v>942.9</v>
      </c>
    </row>
    <row r="122" spans="1:6" s="22" customFormat="1" ht="69.75" customHeight="1">
      <c r="A122" s="2">
        <v>120</v>
      </c>
      <c r="B122" s="28" t="s">
        <v>159</v>
      </c>
      <c r="C122" s="20" t="s">
        <v>89</v>
      </c>
      <c r="D122" s="2">
        <f t="shared" si="1"/>
        <v>124842.70000000001</v>
      </c>
      <c r="E122" s="21">
        <v>121549.6</v>
      </c>
      <c r="F122" s="18">
        <f>3293.1</f>
        <v>3293.1</v>
      </c>
    </row>
    <row r="123" spans="1:6" s="22" customFormat="1" ht="69.75" customHeight="1">
      <c r="A123" s="2">
        <v>121</v>
      </c>
      <c r="B123" s="28" t="s">
        <v>160</v>
      </c>
      <c r="C123" s="20" t="s">
        <v>89</v>
      </c>
      <c r="D123" s="2">
        <f t="shared" si="1"/>
        <v>51235.700000000004</v>
      </c>
      <c r="E123" s="21">
        <v>49390.3</v>
      </c>
      <c r="F123" s="18">
        <v>1845.4</v>
      </c>
    </row>
    <row r="124" spans="1:6" s="22" customFormat="1" ht="69.75" customHeight="1">
      <c r="A124" s="2">
        <v>122</v>
      </c>
      <c r="B124" s="28" t="s">
        <v>161</v>
      </c>
      <c r="C124" s="20" t="s">
        <v>89</v>
      </c>
      <c r="D124" s="2">
        <f t="shared" si="1"/>
        <v>37243.100000000006</v>
      </c>
      <c r="E124" s="21">
        <v>36225.300000000003</v>
      </c>
      <c r="F124" s="18">
        <v>1017.8</v>
      </c>
    </row>
    <row r="125" spans="1:6" s="22" customFormat="1" ht="69.75" customHeight="1">
      <c r="A125" s="2">
        <v>123</v>
      </c>
      <c r="B125" s="28" t="s">
        <v>162</v>
      </c>
      <c r="C125" s="20" t="s">
        <v>89</v>
      </c>
      <c r="D125" s="2">
        <f t="shared" si="1"/>
        <v>95996.7</v>
      </c>
      <c r="E125" s="21">
        <v>95008.2</v>
      </c>
      <c r="F125" s="18">
        <v>988.5</v>
      </c>
    </row>
    <row r="126" spans="1:6" s="22" customFormat="1" ht="69.75" customHeight="1">
      <c r="A126" s="2">
        <v>124</v>
      </c>
      <c r="B126" s="28" t="s">
        <v>163</v>
      </c>
      <c r="C126" s="20" t="s">
        <v>134</v>
      </c>
      <c r="D126" s="2">
        <f t="shared" si="1"/>
        <v>27067.599999999999</v>
      </c>
      <c r="E126" s="21">
        <v>26882.3</v>
      </c>
      <c r="F126" s="18">
        <f>26.9+158.4</f>
        <v>185.3</v>
      </c>
    </row>
    <row r="127" spans="1:6" s="22" customFormat="1" ht="104.25" customHeight="1">
      <c r="A127" s="2">
        <v>125</v>
      </c>
      <c r="B127" s="28" t="s">
        <v>164</v>
      </c>
      <c r="C127" s="20" t="s">
        <v>134</v>
      </c>
      <c r="D127" s="2">
        <f t="shared" si="1"/>
        <v>45327.299999999996</v>
      </c>
      <c r="E127" s="21">
        <f>45103.6</f>
        <v>45103.6</v>
      </c>
      <c r="F127" s="18">
        <f>77+146.7</f>
        <v>223.7</v>
      </c>
    </row>
    <row r="128" spans="1:6" s="22" customFormat="1" ht="69.75" customHeight="1">
      <c r="A128" s="2">
        <v>126</v>
      </c>
      <c r="B128" s="28" t="s">
        <v>165</v>
      </c>
      <c r="C128" s="20" t="s">
        <v>166</v>
      </c>
      <c r="D128" s="2">
        <f t="shared" si="1"/>
        <v>41850.9</v>
      </c>
      <c r="E128" s="21">
        <f>39101.5+1913</f>
        <v>41014.5</v>
      </c>
      <c r="F128" s="18">
        <f>223.3+613.1</f>
        <v>836.40000000000009</v>
      </c>
    </row>
    <row r="129" spans="1:6" s="22" customFormat="1" ht="69.75" customHeight="1">
      <c r="A129" s="2">
        <v>127</v>
      </c>
      <c r="B129" s="28" t="s">
        <v>167</v>
      </c>
      <c r="C129" s="20" t="s">
        <v>89</v>
      </c>
      <c r="D129" s="2">
        <f t="shared" si="1"/>
        <v>39891.200000000004</v>
      </c>
      <c r="E129" s="21">
        <v>38649.300000000003</v>
      </c>
      <c r="F129" s="18">
        <f>1241.9</f>
        <v>1241.9000000000001</v>
      </c>
    </row>
    <row r="130" spans="1:6" s="22" customFormat="1" ht="104.25" customHeight="1">
      <c r="A130" s="2">
        <v>128</v>
      </c>
      <c r="B130" s="28" t="s">
        <v>168</v>
      </c>
      <c r="C130" s="20" t="s">
        <v>134</v>
      </c>
      <c r="D130" s="2">
        <f t="shared" si="1"/>
        <v>72887.399999999994</v>
      </c>
      <c r="E130" s="21">
        <v>70030.2</v>
      </c>
      <c r="F130" s="18">
        <f>42.4+2814.8</f>
        <v>2857.2000000000003</v>
      </c>
    </row>
    <row r="131" spans="1:6" s="22" customFormat="1" ht="69.75" customHeight="1">
      <c r="A131" s="2">
        <v>129</v>
      </c>
      <c r="B131" s="28" t="s">
        <v>169</v>
      </c>
      <c r="C131" s="20" t="s">
        <v>134</v>
      </c>
      <c r="D131" s="2">
        <f t="shared" si="1"/>
        <v>62935.9</v>
      </c>
      <c r="E131" s="21">
        <v>61931</v>
      </c>
      <c r="F131" s="18">
        <f>392.6+612.3</f>
        <v>1004.9</v>
      </c>
    </row>
    <row r="132" spans="1:6" s="22" customFormat="1" ht="69.75" customHeight="1">
      <c r="A132" s="2">
        <v>130</v>
      </c>
      <c r="B132" s="28" t="s">
        <v>170</v>
      </c>
      <c r="C132" s="20" t="s">
        <v>134</v>
      </c>
      <c r="D132" s="2">
        <f t="shared" ref="D132:D195" si="2">E132+F132</f>
        <v>57281.599999999999</v>
      </c>
      <c r="E132" s="21">
        <v>56026.2</v>
      </c>
      <c r="F132" s="18">
        <f>38.1+1217.3</f>
        <v>1255.3999999999999</v>
      </c>
    </row>
    <row r="133" spans="1:6" s="22" customFormat="1" ht="69.75" customHeight="1">
      <c r="A133" s="2">
        <v>131</v>
      </c>
      <c r="B133" s="28" t="s">
        <v>171</v>
      </c>
      <c r="C133" s="20" t="s">
        <v>89</v>
      </c>
      <c r="D133" s="2">
        <f t="shared" si="2"/>
        <v>104682.59999999999</v>
      </c>
      <c r="E133" s="21">
        <v>104525.7</v>
      </c>
      <c r="F133" s="18">
        <v>156.9</v>
      </c>
    </row>
    <row r="134" spans="1:6" s="22" customFormat="1" ht="69.75" customHeight="1">
      <c r="A134" s="2">
        <v>132</v>
      </c>
      <c r="B134" s="28" t="s">
        <v>172</v>
      </c>
      <c r="C134" s="20" t="s">
        <v>89</v>
      </c>
      <c r="D134" s="2">
        <f t="shared" si="2"/>
        <v>91995</v>
      </c>
      <c r="E134" s="21">
        <v>90449.2</v>
      </c>
      <c r="F134" s="18">
        <v>1545.8</v>
      </c>
    </row>
    <row r="135" spans="1:6" s="22" customFormat="1" ht="69.75" customHeight="1">
      <c r="A135" s="2">
        <v>133</v>
      </c>
      <c r="B135" s="28" t="s">
        <v>173</v>
      </c>
      <c r="C135" s="20" t="s">
        <v>89</v>
      </c>
      <c r="D135" s="2">
        <f t="shared" si="2"/>
        <v>98125.700000000012</v>
      </c>
      <c r="E135" s="21">
        <v>97022.6</v>
      </c>
      <c r="F135" s="18">
        <v>1103.0999999999999</v>
      </c>
    </row>
    <row r="136" spans="1:6" s="22" customFormat="1" ht="104.25" customHeight="1">
      <c r="A136" s="2">
        <v>134</v>
      </c>
      <c r="B136" s="28" t="s">
        <v>174</v>
      </c>
      <c r="C136" s="20" t="s">
        <v>134</v>
      </c>
      <c r="D136" s="2">
        <f t="shared" si="2"/>
        <v>68232.700000000012</v>
      </c>
      <c r="E136" s="21">
        <f>67325.1</f>
        <v>67325.100000000006</v>
      </c>
      <c r="F136" s="18">
        <f>134.7+772.9</f>
        <v>907.59999999999991</v>
      </c>
    </row>
    <row r="137" spans="1:6" s="22" customFormat="1" ht="104.25" customHeight="1">
      <c r="A137" s="2">
        <v>135</v>
      </c>
      <c r="B137" s="28" t="s">
        <v>175</v>
      </c>
      <c r="C137" s="20" t="s">
        <v>134</v>
      </c>
      <c r="D137" s="2">
        <f t="shared" si="2"/>
        <v>124845.5</v>
      </c>
      <c r="E137" s="21">
        <f>124507.4</f>
        <v>124507.4</v>
      </c>
      <c r="F137" s="18">
        <f>161.7+176.4</f>
        <v>338.1</v>
      </c>
    </row>
    <row r="138" spans="1:6" s="22" customFormat="1" ht="69.75" customHeight="1">
      <c r="A138" s="2">
        <v>136</v>
      </c>
      <c r="B138" s="28" t="s">
        <v>176</v>
      </c>
      <c r="C138" s="20" t="s">
        <v>177</v>
      </c>
      <c r="D138" s="2">
        <f t="shared" si="2"/>
        <v>84768.9</v>
      </c>
      <c r="E138" s="21">
        <f>77040.5+7688</f>
        <v>84728.5</v>
      </c>
      <c r="F138" s="18">
        <v>40.4</v>
      </c>
    </row>
    <row r="139" spans="1:6" s="22" customFormat="1" ht="104.25" customHeight="1">
      <c r="A139" s="2">
        <v>137</v>
      </c>
      <c r="B139" s="28" t="s">
        <v>178</v>
      </c>
      <c r="C139" s="20" t="s">
        <v>134</v>
      </c>
      <c r="D139" s="2">
        <f t="shared" si="2"/>
        <v>63327.9</v>
      </c>
      <c r="E139" s="21">
        <f>62998.6</f>
        <v>62998.6</v>
      </c>
      <c r="F139" s="18">
        <f>163.7+165.6</f>
        <v>329.29999999999995</v>
      </c>
    </row>
    <row r="140" spans="1:6" s="22" customFormat="1" ht="104.25" customHeight="1">
      <c r="A140" s="2">
        <v>138</v>
      </c>
      <c r="B140" s="28" t="s">
        <v>179</v>
      </c>
      <c r="C140" s="20" t="s">
        <v>134</v>
      </c>
      <c r="D140" s="2">
        <f t="shared" si="2"/>
        <v>104643</v>
      </c>
      <c r="E140" s="21">
        <f>104110.2</f>
        <v>104110.2</v>
      </c>
      <c r="F140" s="18">
        <f>140.8+392</f>
        <v>532.79999999999995</v>
      </c>
    </row>
    <row r="141" spans="1:6" s="22" customFormat="1" ht="39" customHeight="1">
      <c r="A141" s="2">
        <v>139</v>
      </c>
      <c r="B141" s="28" t="s">
        <v>180</v>
      </c>
      <c r="C141" s="20" t="s">
        <v>91</v>
      </c>
      <c r="D141" s="2">
        <f t="shared" si="2"/>
        <v>94937.7</v>
      </c>
      <c r="E141" s="21">
        <v>94937.7</v>
      </c>
      <c r="F141" s="18">
        <v>0</v>
      </c>
    </row>
    <row r="142" spans="1:6" s="22" customFormat="1" ht="39" customHeight="1">
      <c r="A142" s="2">
        <v>140</v>
      </c>
      <c r="B142" s="28" t="s">
        <v>181</v>
      </c>
      <c r="C142" s="20" t="s">
        <v>91</v>
      </c>
      <c r="D142" s="2">
        <f t="shared" si="2"/>
        <v>45224.2</v>
      </c>
      <c r="E142" s="21">
        <v>45224.2</v>
      </c>
      <c r="F142" s="18">
        <v>0</v>
      </c>
    </row>
    <row r="143" spans="1:6" s="22" customFormat="1" ht="69.75" customHeight="1">
      <c r="A143" s="2">
        <v>141</v>
      </c>
      <c r="B143" s="28" t="s">
        <v>182</v>
      </c>
      <c r="C143" s="20" t="s">
        <v>183</v>
      </c>
      <c r="D143" s="2">
        <f t="shared" si="2"/>
        <v>167881.8</v>
      </c>
      <c r="E143" s="21">
        <f>153585.9+7548.5+6496.9</f>
        <v>167631.29999999999</v>
      </c>
      <c r="F143" s="18">
        <v>250.5</v>
      </c>
    </row>
    <row r="144" spans="1:6" s="22" customFormat="1" ht="104.25" customHeight="1">
      <c r="A144" s="2">
        <v>142</v>
      </c>
      <c r="B144" s="28" t="s">
        <v>184</v>
      </c>
      <c r="C144" s="20" t="s">
        <v>134</v>
      </c>
      <c r="D144" s="2">
        <f t="shared" si="2"/>
        <v>54974.100000000006</v>
      </c>
      <c r="E144" s="21">
        <f>53737.8</f>
        <v>53737.8</v>
      </c>
      <c r="F144" s="18">
        <f>293.1+943.2</f>
        <v>1236.3000000000002</v>
      </c>
    </row>
    <row r="145" spans="1:6" s="22" customFormat="1" ht="69.75" customHeight="1">
      <c r="A145" s="2">
        <v>143</v>
      </c>
      <c r="B145" s="28" t="s">
        <v>185</v>
      </c>
      <c r="C145" s="20" t="s">
        <v>138</v>
      </c>
      <c r="D145" s="2">
        <f t="shared" si="2"/>
        <v>120948.2</v>
      </c>
      <c r="E145" s="21">
        <f>120852.5</f>
        <v>120852.5</v>
      </c>
      <c r="F145" s="18">
        <v>95.7</v>
      </c>
    </row>
    <row r="146" spans="1:6" s="22" customFormat="1" ht="98.25" customHeight="1">
      <c r="A146" s="2">
        <v>144</v>
      </c>
      <c r="B146" s="28" t="s">
        <v>186</v>
      </c>
      <c r="C146" s="20" t="s">
        <v>134</v>
      </c>
      <c r="D146" s="2">
        <f t="shared" si="2"/>
        <v>48355.799999999996</v>
      </c>
      <c r="E146" s="21">
        <f>47519.1</f>
        <v>47519.1</v>
      </c>
      <c r="F146" s="18">
        <f>108.1+728.6</f>
        <v>836.7</v>
      </c>
    </row>
    <row r="147" spans="1:6" s="22" customFormat="1" ht="104.25" customHeight="1">
      <c r="A147" s="2">
        <v>145</v>
      </c>
      <c r="B147" s="28" t="s">
        <v>187</v>
      </c>
      <c r="C147" s="20" t="s">
        <v>134</v>
      </c>
      <c r="D147" s="2">
        <f t="shared" si="2"/>
        <v>62007.1</v>
      </c>
      <c r="E147" s="21">
        <f>60009.1</f>
        <v>60009.1</v>
      </c>
      <c r="F147" s="18">
        <f>117+1881</f>
        <v>1998</v>
      </c>
    </row>
    <row r="148" spans="1:6" s="22" customFormat="1" ht="69.75" customHeight="1">
      <c r="A148" s="2">
        <v>146</v>
      </c>
      <c r="B148" s="28" t="s">
        <v>188</v>
      </c>
      <c r="C148" s="20" t="s">
        <v>189</v>
      </c>
      <c r="D148" s="2">
        <f t="shared" si="2"/>
        <v>77646.2</v>
      </c>
      <c r="E148" s="21">
        <f>72297.3+3248.5</f>
        <v>75545.8</v>
      </c>
      <c r="F148" s="18">
        <f>487.7+1612.7</f>
        <v>2100.4</v>
      </c>
    </row>
    <row r="149" spans="1:6" s="22" customFormat="1" ht="104.25" customHeight="1">
      <c r="A149" s="2">
        <v>147</v>
      </c>
      <c r="B149" s="28" t="s">
        <v>315</v>
      </c>
      <c r="C149" s="20" t="s">
        <v>190</v>
      </c>
      <c r="D149" s="2">
        <f t="shared" si="2"/>
        <v>149642.6</v>
      </c>
      <c r="E149" s="21">
        <f>148123.7</f>
        <v>148123.70000000001</v>
      </c>
      <c r="F149" s="18">
        <f>720.3+798.6</f>
        <v>1518.9</v>
      </c>
    </row>
    <row r="150" spans="1:6" s="22" customFormat="1" ht="69.75" customHeight="1">
      <c r="A150" s="2">
        <v>148</v>
      </c>
      <c r="B150" s="28" t="s">
        <v>316</v>
      </c>
      <c r="C150" s="20" t="s">
        <v>89</v>
      </c>
      <c r="D150" s="2">
        <f t="shared" si="2"/>
        <v>74739.899999999994</v>
      </c>
      <c r="E150" s="21">
        <v>73808.2</v>
      </c>
      <c r="F150" s="18">
        <v>931.7</v>
      </c>
    </row>
    <row r="151" spans="1:6" s="22" customFormat="1" ht="69.75" customHeight="1">
      <c r="A151" s="2">
        <v>149</v>
      </c>
      <c r="B151" s="28" t="s">
        <v>191</v>
      </c>
      <c r="C151" s="20" t="s">
        <v>138</v>
      </c>
      <c r="D151" s="2">
        <f t="shared" si="2"/>
        <v>53866.100000000006</v>
      </c>
      <c r="E151" s="21">
        <v>53664.3</v>
      </c>
      <c r="F151" s="18">
        <v>201.8</v>
      </c>
    </row>
    <row r="152" spans="1:6" s="22" customFormat="1" ht="69.75" customHeight="1">
      <c r="A152" s="2">
        <v>150</v>
      </c>
      <c r="B152" s="28" t="s">
        <v>192</v>
      </c>
      <c r="C152" s="20" t="s">
        <v>138</v>
      </c>
      <c r="D152" s="2">
        <f t="shared" si="2"/>
        <v>76746.799999999988</v>
      </c>
      <c r="E152" s="21">
        <f>76733.4</f>
        <v>76733.399999999994</v>
      </c>
      <c r="F152" s="18">
        <v>13.4</v>
      </c>
    </row>
    <row r="153" spans="1:6" s="22" customFormat="1" ht="69.75" customHeight="1">
      <c r="A153" s="2">
        <v>151</v>
      </c>
      <c r="B153" s="28" t="s">
        <v>193</v>
      </c>
      <c r="C153" s="20" t="s">
        <v>194</v>
      </c>
      <c r="D153" s="2">
        <f t="shared" si="2"/>
        <v>59209.599999999999</v>
      </c>
      <c r="E153" s="21">
        <f>56110.3+2076.6</f>
        <v>58186.9</v>
      </c>
      <c r="F153" s="18">
        <f>578.2+444.5</f>
        <v>1022.7</v>
      </c>
    </row>
    <row r="154" spans="1:6" s="22" customFormat="1" ht="102" customHeight="1">
      <c r="A154" s="2">
        <v>152</v>
      </c>
      <c r="B154" s="28" t="s">
        <v>195</v>
      </c>
      <c r="C154" s="20" t="s">
        <v>134</v>
      </c>
      <c r="D154" s="2">
        <f t="shared" si="2"/>
        <v>64724.4</v>
      </c>
      <c r="E154" s="21">
        <f>64147.6</f>
        <v>64147.6</v>
      </c>
      <c r="F154" s="18">
        <f>434.7+142.1</f>
        <v>576.79999999999995</v>
      </c>
    </row>
    <row r="155" spans="1:6" s="22" customFormat="1" ht="117" customHeight="1">
      <c r="A155" s="2">
        <v>153</v>
      </c>
      <c r="B155" s="28" t="s">
        <v>196</v>
      </c>
      <c r="C155" s="20" t="s">
        <v>197</v>
      </c>
      <c r="D155" s="2">
        <f t="shared" si="2"/>
        <v>110093.40000000001</v>
      </c>
      <c r="E155" s="21">
        <f>97282.2+12162.6</f>
        <v>109444.8</v>
      </c>
      <c r="F155" s="18">
        <f>303.9+344.7</f>
        <v>648.59999999999991</v>
      </c>
    </row>
    <row r="156" spans="1:6" s="22" customFormat="1" ht="104.25" customHeight="1">
      <c r="A156" s="2">
        <v>154</v>
      </c>
      <c r="B156" s="28" t="s">
        <v>198</v>
      </c>
      <c r="C156" s="20" t="s">
        <v>134</v>
      </c>
      <c r="D156" s="2">
        <f t="shared" si="2"/>
        <v>111765.3</v>
      </c>
      <c r="E156" s="21">
        <f>110278.1</f>
        <v>110278.1</v>
      </c>
      <c r="F156" s="18">
        <f>594+893.2</f>
        <v>1487.2</v>
      </c>
    </row>
    <row r="157" spans="1:6" s="22" customFormat="1" ht="69.75" customHeight="1">
      <c r="A157" s="2">
        <v>155</v>
      </c>
      <c r="B157" s="28" t="s">
        <v>199</v>
      </c>
      <c r="C157" s="20" t="s">
        <v>89</v>
      </c>
      <c r="D157" s="2">
        <f t="shared" si="2"/>
        <v>72899.399999999994</v>
      </c>
      <c r="E157" s="21">
        <v>72329.2</v>
      </c>
      <c r="F157" s="18">
        <v>570.20000000000005</v>
      </c>
    </row>
    <row r="158" spans="1:6" s="22" customFormat="1" ht="69.75" customHeight="1">
      <c r="A158" s="2">
        <v>156</v>
      </c>
      <c r="B158" s="28" t="s">
        <v>200</v>
      </c>
      <c r="C158" s="20" t="s">
        <v>89</v>
      </c>
      <c r="D158" s="2">
        <f t="shared" si="2"/>
        <v>53219</v>
      </c>
      <c r="E158" s="21">
        <v>52701.5</v>
      </c>
      <c r="F158" s="18">
        <v>517.5</v>
      </c>
    </row>
    <row r="159" spans="1:6" s="22" customFormat="1" ht="69.75" customHeight="1">
      <c r="A159" s="2">
        <v>157</v>
      </c>
      <c r="B159" s="28" t="s">
        <v>201</v>
      </c>
      <c r="C159" s="20" t="s">
        <v>89</v>
      </c>
      <c r="D159" s="2">
        <f t="shared" si="2"/>
        <v>56055.4</v>
      </c>
      <c r="E159" s="21">
        <v>55705.9</v>
      </c>
      <c r="F159" s="18">
        <v>349.5</v>
      </c>
    </row>
    <row r="160" spans="1:6" s="22" customFormat="1" ht="69.75" customHeight="1">
      <c r="A160" s="2">
        <v>158</v>
      </c>
      <c r="B160" s="28" t="s">
        <v>202</v>
      </c>
      <c r="C160" s="20" t="s">
        <v>89</v>
      </c>
      <c r="D160" s="2">
        <f t="shared" si="2"/>
        <v>148959.40000000002</v>
      </c>
      <c r="E160" s="21">
        <v>148245.20000000001</v>
      </c>
      <c r="F160" s="18">
        <v>714.2</v>
      </c>
    </row>
    <row r="161" spans="1:6" s="22" customFormat="1" ht="69.75" customHeight="1">
      <c r="A161" s="2">
        <v>159</v>
      </c>
      <c r="B161" s="28" t="s">
        <v>203</v>
      </c>
      <c r="C161" s="20" t="s">
        <v>89</v>
      </c>
      <c r="D161" s="2">
        <f t="shared" si="2"/>
        <v>104924.5</v>
      </c>
      <c r="E161" s="21">
        <v>104220.3</v>
      </c>
      <c r="F161" s="18">
        <f>704.2</f>
        <v>704.2</v>
      </c>
    </row>
    <row r="162" spans="1:6" s="22" customFormat="1" ht="69.75" customHeight="1">
      <c r="A162" s="2">
        <v>160</v>
      </c>
      <c r="B162" s="28" t="s">
        <v>204</v>
      </c>
      <c r="C162" s="20" t="s">
        <v>89</v>
      </c>
      <c r="D162" s="2">
        <f t="shared" si="2"/>
        <v>95769.8</v>
      </c>
      <c r="E162" s="21">
        <v>94415.8</v>
      </c>
      <c r="F162" s="18">
        <f>1354</f>
        <v>1354</v>
      </c>
    </row>
    <row r="163" spans="1:6" s="22" customFormat="1" ht="99.75" customHeight="1">
      <c r="A163" s="2">
        <v>161</v>
      </c>
      <c r="B163" s="28" t="s">
        <v>205</v>
      </c>
      <c r="C163" s="20" t="s">
        <v>134</v>
      </c>
      <c r="D163" s="2">
        <f t="shared" si="2"/>
        <v>71445.899999999994</v>
      </c>
      <c r="E163" s="21">
        <f>71110.7</f>
        <v>71110.7</v>
      </c>
      <c r="F163" s="18">
        <f>107.4+227.8</f>
        <v>335.20000000000005</v>
      </c>
    </row>
    <row r="164" spans="1:6" s="22" customFormat="1" ht="104.25" customHeight="1">
      <c r="A164" s="2">
        <v>162</v>
      </c>
      <c r="B164" s="28" t="s">
        <v>206</v>
      </c>
      <c r="C164" s="20" t="s">
        <v>134</v>
      </c>
      <c r="D164" s="2">
        <f t="shared" si="2"/>
        <v>120348.1</v>
      </c>
      <c r="E164" s="21">
        <f>116997.6</f>
        <v>116997.6</v>
      </c>
      <c r="F164" s="18">
        <f>659.5+2691</f>
        <v>3350.5</v>
      </c>
    </row>
    <row r="165" spans="1:6" s="22" customFormat="1" ht="104.25" customHeight="1">
      <c r="A165" s="2">
        <v>163</v>
      </c>
      <c r="B165" s="28" t="s">
        <v>207</v>
      </c>
      <c r="C165" s="20" t="s">
        <v>190</v>
      </c>
      <c r="D165" s="2">
        <f t="shared" si="2"/>
        <v>166219.9</v>
      </c>
      <c r="E165" s="21">
        <f>158287.3</f>
        <v>158287.29999999999</v>
      </c>
      <c r="F165" s="18">
        <f>1108.6+6824</f>
        <v>7932.6</v>
      </c>
    </row>
    <row r="166" spans="1:6" s="22" customFormat="1" ht="69.75" customHeight="1">
      <c r="A166" s="2">
        <v>164</v>
      </c>
      <c r="B166" s="28" t="s">
        <v>208</v>
      </c>
      <c r="C166" s="20" t="s">
        <v>111</v>
      </c>
      <c r="D166" s="2">
        <f t="shared" si="2"/>
        <v>124384.3</v>
      </c>
      <c r="E166" s="21">
        <v>120652</v>
      </c>
      <c r="F166" s="18">
        <v>3732.3</v>
      </c>
    </row>
    <row r="167" spans="1:6" s="22" customFormat="1" ht="39" customHeight="1">
      <c r="A167" s="2">
        <v>165</v>
      </c>
      <c r="B167" s="28" t="s">
        <v>209</v>
      </c>
      <c r="C167" s="20" t="s">
        <v>210</v>
      </c>
      <c r="D167" s="2">
        <f t="shared" si="2"/>
        <v>24875.9</v>
      </c>
      <c r="E167" s="21">
        <v>24875.9</v>
      </c>
      <c r="F167" s="18">
        <v>0</v>
      </c>
    </row>
    <row r="168" spans="1:6" s="22" customFormat="1" ht="87" customHeight="1">
      <c r="A168" s="2">
        <v>166</v>
      </c>
      <c r="B168" s="23" t="s">
        <v>211</v>
      </c>
      <c r="C168" s="20" t="s">
        <v>212</v>
      </c>
      <c r="D168" s="2">
        <f t="shared" si="2"/>
        <v>126021.40000000001</v>
      </c>
      <c r="E168" s="21">
        <f>52958.4+72894.3</f>
        <v>125852.70000000001</v>
      </c>
      <c r="F168" s="18">
        <v>168.7</v>
      </c>
    </row>
    <row r="169" spans="1:6" s="22" customFormat="1" ht="57" customHeight="1">
      <c r="A169" s="2">
        <v>167</v>
      </c>
      <c r="B169" s="23" t="s">
        <v>213</v>
      </c>
      <c r="C169" s="20" t="s">
        <v>214</v>
      </c>
      <c r="D169" s="2">
        <f t="shared" si="2"/>
        <v>234026.6</v>
      </c>
      <c r="E169" s="21">
        <f>74771.1+87665.4+71590.1</f>
        <v>234026.6</v>
      </c>
      <c r="F169" s="18">
        <v>0</v>
      </c>
    </row>
    <row r="170" spans="1:6" s="22" customFormat="1" ht="57" customHeight="1">
      <c r="A170" s="2">
        <v>168</v>
      </c>
      <c r="B170" s="23" t="s">
        <v>215</v>
      </c>
      <c r="C170" s="20" t="s">
        <v>216</v>
      </c>
      <c r="D170" s="2">
        <f t="shared" si="2"/>
        <v>165560.79999999999</v>
      </c>
      <c r="E170" s="21">
        <f>72364.1+93196.7</f>
        <v>165560.79999999999</v>
      </c>
      <c r="F170" s="18">
        <v>0</v>
      </c>
    </row>
    <row r="171" spans="1:6" s="22" customFormat="1" ht="39" customHeight="1">
      <c r="A171" s="2">
        <v>169</v>
      </c>
      <c r="B171" s="23" t="s">
        <v>217</v>
      </c>
      <c r="C171" s="20" t="s">
        <v>218</v>
      </c>
      <c r="D171" s="2">
        <f t="shared" si="2"/>
        <v>177387</v>
      </c>
      <c r="E171" s="21">
        <v>177387</v>
      </c>
      <c r="F171" s="18">
        <v>0</v>
      </c>
    </row>
    <row r="172" spans="1:6" s="22" customFormat="1" ht="69.75" customHeight="1">
      <c r="A172" s="2">
        <v>170</v>
      </c>
      <c r="B172" s="23" t="s">
        <v>219</v>
      </c>
      <c r="C172" s="20" t="s">
        <v>220</v>
      </c>
      <c r="D172" s="2">
        <f t="shared" si="2"/>
        <v>163919.29999999999</v>
      </c>
      <c r="E172" s="21">
        <f>55587.7+108221.4</f>
        <v>163809.09999999998</v>
      </c>
      <c r="F172" s="18">
        <v>110.2</v>
      </c>
    </row>
    <row r="173" spans="1:6" s="22" customFormat="1" ht="87" customHeight="1">
      <c r="A173" s="2">
        <v>171</v>
      </c>
      <c r="B173" s="23" t="s">
        <v>221</v>
      </c>
      <c r="C173" s="20" t="s">
        <v>222</v>
      </c>
      <c r="D173" s="2">
        <f t="shared" si="2"/>
        <v>174118.5</v>
      </c>
      <c r="E173" s="21">
        <f>54128.3+65491.9+54128.3</f>
        <v>173748.5</v>
      </c>
      <c r="F173" s="18">
        <v>370</v>
      </c>
    </row>
    <row r="174" spans="1:6" s="22" customFormat="1" ht="57" customHeight="1">
      <c r="A174" s="2">
        <v>172</v>
      </c>
      <c r="B174" s="23" t="s">
        <v>223</v>
      </c>
      <c r="C174" s="20" t="s">
        <v>214</v>
      </c>
      <c r="D174" s="2">
        <f t="shared" si="2"/>
        <v>177642.9</v>
      </c>
      <c r="E174" s="21">
        <f>44246.7+70982.6+62413.6</f>
        <v>177642.9</v>
      </c>
      <c r="F174" s="18">
        <v>0</v>
      </c>
    </row>
    <row r="175" spans="1:6" s="22" customFormat="1" ht="69.75" customHeight="1">
      <c r="A175" s="2">
        <v>173</v>
      </c>
      <c r="B175" s="23" t="s">
        <v>224</v>
      </c>
      <c r="C175" s="20" t="s">
        <v>225</v>
      </c>
      <c r="D175" s="2">
        <f t="shared" si="2"/>
        <v>480785.6</v>
      </c>
      <c r="E175" s="21">
        <f>194015.4+250763.6</f>
        <v>444779</v>
      </c>
      <c r="F175" s="18">
        <f>4576.6+31430</f>
        <v>36006.6</v>
      </c>
    </row>
    <row r="176" spans="1:6" s="22" customFormat="1" ht="57" customHeight="1">
      <c r="A176" s="2">
        <v>174</v>
      </c>
      <c r="B176" s="23" t="s">
        <v>226</v>
      </c>
      <c r="C176" s="20" t="s">
        <v>227</v>
      </c>
      <c r="D176" s="2">
        <f t="shared" si="2"/>
        <v>272724.59999999998</v>
      </c>
      <c r="E176" s="21">
        <f>83489.3+133957.3+55278</f>
        <v>272724.59999999998</v>
      </c>
      <c r="F176" s="18">
        <v>0</v>
      </c>
    </row>
    <row r="177" spans="1:6" s="22" customFormat="1" ht="57" customHeight="1">
      <c r="A177" s="2">
        <v>175</v>
      </c>
      <c r="B177" s="23" t="s">
        <v>228</v>
      </c>
      <c r="C177" s="20" t="s">
        <v>229</v>
      </c>
      <c r="D177" s="2">
        <f t="shared" si="2"/>
        <v>142548.20000000001</v>
      </c>
      <c r="E177" s="21">
        <f>36659.6+105888.6</f>
        <v>142548.20000000001</v>
      </c>
      <c r="F177" s="18">
        <v>0</v>
      </c>
    </row>
    <row r="178" spans="1:6" s="22" customFormat="1" ht="57" customHeight="1">
      <c r="A178" s="2">
        <v>176</v>
      </c>
      <c r="B178" s="23" t="s">
        <v>230</v>
      </c>
      <c r="C178" s="20" t="s">
        <v>229</v>
      </c>
      <c r="D178" s="2">
        <f t="shared" si="2"/>
        <v>467664.2</v>
      </c>
      <c r="E178" s="21">
        <f>263722.4+203941.8</f>
        <v>467664.2</v>
      </c>
      <c r="F178" s="18">
        <v>0</v>
      </c>
    </row>
    <row r="179" spans="1:6" s="22" customFormat="1" ht="69.75" customHeight="1">
      <c r="A179" s="2">
        <v>177</v>
      </c>
      <c r="B179" s="23" t="s">
        <v>231</v>
      </c>
      <c r="C179" s="20" t="s">
        <v>232</v>
      </c>
      <c r="D179" s="2">
        <f t="shared" si="2"/>
        <v>187578.2</v>
      </c>
      <c r="E179" s="21">
        <v>187244.2</v>
      </c>
      <c r="F179" s="18">
        <f>334</f>
        <v>334</v>
      </c>
    </row>
    <row r="180" spans="1:6" s="22" customFormat="1" ht="84.75" customHeight="1">
      <c r="A180" s="2">
        <v>178</v>
      </c>
      <c r="B180" s="23" t="s">
        <v>233</v>
      </c>
      <c r="C180" s="20" t="s">
        <v>234</v>
      </c>
      <c r="D180" s="2">
        <f t="shared" si="2"/>
        <v>135525</v>
      </c>
      <c r="E180" s="21">
        <f>78307.3+54005.3</f>
        <v>132312.6</v>
      </c>
      <c r="F180" s="18">
        <f>3212.4</f>
        <v>3212.4</v>
      </c>
    </row>
    <row r="181" spans="1:6" s="22" customFormat="1" ht="101.25" customHeight="1">
      <c r="A181" s="2">
        <v>179</v>
      </c>
      <c r="B181" s="23" t="s">
        <v>235</v>
      </c>
      <c r="C181" s="20" t="s">
        <v>236</v>
      </c>
      <c r="D181" s="2">
        <f t="shared" si="2"/>
        <v>422269.70000000007</v>
      </c>
      <c r="E181" s="21">
        <f>132296.7+183650.6+105291.5</f>
        <v>421238.80000000005</v>
      </c>
      <c r="F181" s="18">
        <f>833.4+197.5</f>
        <v>1030.9000000000001</v>
      </c>
    </row>
    <row r="182" spans="1:6" s="22" customFormat="1" ht="57" customHeight="1">
      <c r="A182" s="2">
        <v>180</v>
      </c>
      <c r="B182" s="23" t="s">
        <v>237</v>
      </c>
      <c r="C182" s="20" t="s">
        <v>238</v>
      </c>
      <c r="D182" s="2">
        <f t="shared" si="2"/>
        <v>585914</v>
      </c>
      <c r="E182" s="17">
        <v>0</v>
      </c>
      <c r="F182" s="18">
        <v>585914</v>
      </c>
    </row>
    <row r="183" spans="1:6" s="22" customFormat="1" ht="117.75" customHeight="1">
      <c r="A183" s="2">
        <v>181</v>
      </c>
      <c r="B183" s="23" t="s">
        <v>239</v>
      </c>
      <c r="C183" s="24" t="s">
        <v>240</v>
      </c>
      <c r="D183" s="2">
        <f t="shared" si="2"/>
        <v>328614.8</v>
      </c>
      <c r="E183" s="17">
        <v>0</v>
      </c>
      <c r="F183" s="18">
        <f>193433.4+135181.4</f>
        <v>328614.8</v>
      </c>
    </row>
    <row r="184" spans="1:6" s="22" customFormat="1" ht="57" customHeight="1">
      <c r="A184" s="2">
        <v>182</v>
      </c>
      <c r="B184" s="23" t="s">
        <v>241</v>
      </c>
      <c r="C184" s="20" t="s">
        <v>242</v>
      </c>
      <c r="D184" s="2">
        <f t="shared" si="2"/>
        <v>95638.7</v>
      </c>
      <c r="E184" s="17">
        <v>0</v>
      </c>
      <c r="F184" s="18">
        <f>95638.7</f>
        <v>95638.7</v>
      </c>
    </row>
    <row r="185" spans="1:6" s="22" customFormat="1" ht="57" customHeight="1">
      <c r="A185" s="2">
        <v>183</v>
      </c>
      <c r="B185" s="23" t="s">
        <v>243</v>
      </c>
      <c r="C185" s="20" t="s">
        <v>242</v>
      </c>
      <c r="D185" s="2">
        <f t="shared" si="2"/>
        <v>136974.29999999999</v>
      </c>
      <c r="E185" s="17">
        <v>0</v>
      </c>
      <c r="F185" s="18">
        <f>136974.3</f>
        <v>136974.29999999999</v>
      </c>
    </row>
    <row r="186" spans="1:6" s="22" customFormat="1" ht="57" customHeight="1">
      <c r="A186" s="2">
        <v>184</v>
      </c>
      <c r="B186" s="23" t="s">
        <v>244</v>
      </c>
      <c r="C186" s="20" t="s">
        <v>242</v>
      </c>
      <c r="D186" s="2">
        <f t="shared" si="2"/>
        <v>104847.2</v>
      </c>
      <c r="E186" s="17">
        <v>0</v>
      </c>
      <c r="F186" s="18">
        <f>104847.2</f>
        <v>104847.2</v>
      </c>
    </row>
    <row r="187" spans="1:6" s="22" customFormat="1" ht="57" customHeight="1">
      <c r="A187" s="2">
        <v>185</v>
      </c>
      <c r="B187" s="23" t="s">
        <v>245</v>
      </c>
      <c r="C187" s="20" t="s">
        <v>242</v>
      </c>
      <c r="D187" s="2">
        <f t="shared" si="2"/>
        <v>95986.9</v>
      </c>
      <c r="E187" s="17">
        <v>0</v>
      </c>
      <c r="F187" s="18">
        <f>95986.9</f>
        <v>95986.9</v>
      </c>
    </row>
    <row r="188" spans="1:6" s="22" customFormat="1" ht="57" customHeight="1">
      <c r="A188" s="2">
        <v>186</v>
      </c>
      <c r="B188" s="23" t="s">
        <v>246</v>
      </c>
      <c r="C188" s="20" t="s">
        <v>242</v>
      </c>
      <c r="D188" s="2">
        <f t="shared" si="2"/>
        <v>94486.9</v>
      </c>
      <c r="E188" s="17">
        <v>0</v>
      </c>
      <c r="F188" s="18">
        <f>94486.9</f>
        <v>94486.9</v>
      </c>
    </row>
    <row r="189" spans="1:6" s="22" customFormat="1" ht="57" customHeight="1">
      <c r="A189" s="2">
        <v>187</v>
      </c>
      <c r="B189" s="23" t="s">
        <v>247</v>
      </c>
      <c r="C189" s="20" t="s">
        <v>242</v>
      </c>
      <c r="D189" s="2">
        <f t="shared" si="2"/>
        <v>73153.399999999994</v>
      </c>
      <c r="E189" s="17">
        <v>0</v>
      </c>
      <c r="F189" s="18">
        <f>73153.4</f>
        <v>73153.399999999994</v>
      </c>
    </row>
    <row r="190" spans="1:6" s="22" customFormat="1" ht="57" customHeight="1">
      <c r="A190" s="2">
        <v>188</v>
      </c>
      <c r="B190" s="23" t="s">
        <v>248</v>
      </c>
      <c r="C190" s="20" t="s">
        <v>242</v>
      </c>
      <c r="D190" s="2">
        <f t="shared" si="2"/>
        <v>76736</v>
      </c>
      <c r="E190" s="17">
        <v>0</v>
      </c>
      <c r="F190" s="18">
        <f>76736</f>
        <v>76736</v>
      </c>
    </row>
    <row r="191" spans="1:6" s="22" customFormat="1" ht="57" customHeight="1">
      <c r="A191" s="2">
        <v>189</v>
      </c>
      <c r="B191" s="23" t="s">
        <v>249</v>
      </c>
      <c r="C191" s="20" t="s">
        <v>242</v>
      </c>
      <c r="D191" s="2">
        <f t="shared" si="2"/>
        <v>69153.399999999994</v>
      </c>
      <c r="E191" s="17">
        <v>0</v>
      </c>
      <c r="F191" s="18">
        <f>69153.4</f>
        <v>69153.399999999994</v>
      </c>
    </row>
    <row r="192" spans="1:6" s="22" customFormat="1" ht="57" customHeight="1">
      <c r="A192" s="2">
        <v>190</v>
      </c>
      <c r="B192" s="23" t="s">
        <v>250</v>
      </c>
      <c r="C192" s="20" t="s">
        <v>242</v>
      </c>
      <c r="D192" s="2">
        <f t="shared" si="2"/>
        <v>76946</v>
      </c>
      <c r="E192" s="17">
        <v>0</v>
      </c>
      <c r="F192" s="18">
        <f>76946</f>
        <v>76946</v>
      </c>
    </row>
    <row r="193" spans="1:6" s="22" customFormat="1" ht="57" customHeight="1">
      <c r="A193" s="2">
        <v>191</v>
      </c>
      <c r="B193" s="23" t="s">
        <v>251</v>
      </c>
      <c r="C193" s="20" t="s">
        <v>242</v>
      </c>
      <c r="D193" s="2">
        <f t="shared" si="2"/>
        <v>138404.29999999999</v>
      </c>
      <c r="E193" s="17">
        <v>0</v>
      </c>
      <c r="F193" s="18">
        <f>138404.3</f>
        <v>138404.29999999999</v>
      </c>
    </row>
    <row r="194" spans="1:6" s="22" customFormat="1" ht="57" customHeight="1">
      <c r="A194" s="2">
        <v>192</v>
      </c>
      <c r="B194" s="23" t="s">
        <v>252</v>
      </c>
      <c r="C194" s="20" t="s">
        <v>242</v>
      </c>
      <c r="D194" s="2">
        <f t="shared" si="2"/>
        <v>76736</v>
      </c>
      <c r="E194" s="17">
        <v>0</v>
      </c>
      <c r="F194" s="18">
        <f>76736</f>
        <v>76736</v>
      </c>
    </row>
    <row r="195" spans="1:6" s="22" customFormat="1" ht="57" customHeight="1">
      <c r="A195" s="2">
        <v>193</v>
      </c>
      <c r="B195" s="23" t="s">
        <v>253</v>
      </c>
      <c r="C195" s="20" t="s">
        <v>242</v>
      </c>
      <c r="D195" s="2">
        <f t="shared" si="2"/>
        <v>105317.2</v>
      </c>
      <c r="E195" s="17">
        <v>0</v>
      </c>
      <c r="F195" s="18">
        <f>105317.2</f>
        <v>105317.2</v>
      </c>
    </row>
    <row r="196" spans="1:6" s="22" customFormat="1" ht="57" customHeight="1">
      <c r="A196" s="2">
        <v>194</v>
      </c>
      <c r="B196" s="23" t="s">
        <v>254</v>
      </c>
      <c r="C196" s="20" t="s">
        <v>242</v>
      </c>
      <c r="D196" s="2">
        <f t="shared" ref="D196:D211" si="3">E196+F196</f>
        <v>105407.2</v>
      </c>
      <c r="E196" s="17">
        <v>0</v>
      </c>
      <c r="F196" s="18">
        <f>105407.2</f>
        <v>105407.2</v>
      </c>
    </row>
    <row r="197" spans="1:6" s="22" customFormat="1" ht="57" customHeight="1">
      <c r="A197" s="2">
        <v>195</v>
      </c>
      <c r="B197" s="23" t="s">
        <v>255</v>
      </c>
      <c r="C197" s="20" t="s">
        <v>242</v>
      </c>
      <c r="D197" s="2">
        <f t="shared" si="3"/>
        <v>104996.2</v>
      </c>
      <c r="E197" s="17">
        <v>0</v>
      </c>
      <c r="F197" s="18">
        <f>104996.2</f>
        <v>104996.2</v>
      </c>
    </row>
    <row r="198" spans="1:6" s="22" customFormat="1" ht="57" customHeight="1">
      <c r="A198" s="2">
        <v>196</v>
      </c>
      <c r="B198" s="23" t="s">
        <v>256</v>
      </c>
      <c r="C198" s="20" t="s">
        <v>242</v>
      </c>
      <c r="D198" s="2">
        <f t="shared" si="3"/>
        <v>102986.9</v>
      </c>
      <c r="E198" s="17">
        <v>0</v>
      </c>
      <c r="F198" s="18">
        <f>102986.9</f>
        <v>102986.9</v>
      </c>
    </row>
    <row r="199" spans="1:6" s="22" customFormat="1" ht="57" customHeight="1">
      <c r="A199" s="2">
        <v>197</v>
      </c>
      <c r="B199" s="23" t="s">
        <v>257</v>
      </c>
      <c r="C199" s="20" t="s">
        <v>242</v>
      </c>
      <c r="D199" s="2">
        <f t="shared" si="3"/>
        <v>94486.9</v>
      </c>
      <c r="E199" s="17">
        <v>0</v>
      </c>
      <c r="F199" s="18">
        <f>94486.9</f>
        <v>94486.9</v>
      </c>
    </row>
    <row r="200" spans="1:6" s="22" customFormat="1" ht="57" customHeight="1">
      <c r="A200" s="2">
        <v>198</v>
      </c>
      <c r="B200" s="23" t="s">
        <v>258</v>
      </c>
      <c r="C200" s="20" t="s">
        <v>242</v>
      </c>
      <c r="D200" s="2">
        <f t="shared" si="3"/>
        <v>34294.199999999997</v>
      </c>
      <c r="E200" s="17">
        <v>0</v>
      </c>
      <c r="F200" s="18">
        <f>34294.2</f>
        <v>34294.199999999997</v>
      </c>
    </row>
    <row r="201" spans="1:6" s="22" customFormat="1" ht="57" customHeight="1">
      <c r="A201" s="2">
        <v>199</v>
      </c>
      <c r="B201" s="23" t="s">
        <v>259</v>
      </c>
      <c r="C201" s="20" t="s">
        <v>242</v>
      </c>
      <c r="D201" s="2">
        <f t="shared" si="3"/>
        <v>24665</v>
      </c>
      <c r="E201" s="17">
        <v>0</v>
      </c>
      <c r="F201" s="18">
        <f>24665</f>
        <v>24665</v>
      </c>
    </row>
    <row r="202" spans="1:6" s="22" customFormat="1" ht="57" customHeight="1">
      <c r="A202" s="2">
        <v>200</v>
      </c>
      <c r="B202" s="28" t="s">
        <v>260</v>
      </c>
      <c r="C202" s="20" t="s">
        <v>261</v>
      </c>
      <c r="D202" s="2">
        <f t="shared" si="3"/>
        <v>37654.300000000003</v>
      </c>
      <c r="E202" s="17">
        <v>0</v>
      </c>
      <c r="F202" s="18">
        <v>37654.300000000003</v>
      </c>
    </row>
    <row r="203" spans="1:6" s="22" customFormat="1" ht="39" customHeight="1">
      <c r="A203" s="2">
        <v>201</v>
      </c>
      <c r="B203" s="28" t="s">
        <v>262</v>
      </c>
      <c r="C203" s="20" t="s">
        <v>263</v>
      </c>
      <c r="D203" s="2">
        <f t="shared" si="3"/>
        <v>47259.5</v>
      </c>
      <c r="E203" s="17">
        <v>0</v>
      </c>
      <c r="F203" s="18">
        <v>47259.5</v>
      </c>
    </row>
    <row r="204" spans="1:6" s="22" customFormat="1" ht="82.5" customHeight="1">
      <c r="A204" s="2">
        <v>202</v>
      </c>
      <c r="B204" s="28" t="s">
        <v>0</v>
      </c>
      <c r="C204" s="20" t="s">
        <v>264</v>
      </c>
      <c r="D204" s="2">
        <f t="shared" si="3"/>
        <v>27900</v>
      </c>
      <c r="E204" s="17">
        <v>0</v>
      </c>
      <c r="F204" s="18">
        <v>27900</v>
      </c>
    </row>
    <row r="205" spans="1:6" s="22" customFormat="1" ht="57" customHeight="1">
      <c r="A205" s="2">
        <v>203</v>
      </c>
      <c r="B205" s="28" t="s">
        <v>265</v>
      </c>
      <c r="C205" s="20" t="s">
        <v>266</v>
      </c>
      <c r="D205" s="2">
        <f t="shared" si="3"/>
        <v>96971.1</v>
      </c>
      <c r="E205" s="17">
        <v>0</v>
      </c>
      <c r="F205" s="18">
        <v>96971.1</v>
      </c>
    </row>
    <row r="206" spans="1:6" s="22" customFormat="1" ht="57" customHeight="1">
      <c r="A206" s="2">
        <v>204</v>
      </c>
      <c r="B206" s="28" t="s">
        <v>267</v>
      </c>
      <c r="C206" s="20" t="s">
        <v>268</v>
      </c>
      <c r="D206" s="2">
        <f t="shared" si="3"/>
        <v>52826.9</v>
      </c>
      <c r="E206" s="17">
        <v>0</v>
      </c>
      <c r="F206" s="18">
        <v>52826.9</v>
      </c>
    </row>
    <row r="207" spans="1:6" s="22" customFormat="1" ht="39" customHeight="1">
      <c r="A207" s="2">
        <v>205</v>
      </c>
      <c r="B207" s="28" t="s">
        <v>269</v>
      </c>
      <c r="C207" s="25" t="s">
        <v>270</v>
      </c>
      <c r="D207" s="2">
        <f t="shared" si="3"/>
        <v>29320</v>
      </c>
      <c r="E207" s="17">
        <v>0</v>
      </c>
      <c r="F207" s="18">
        <v>29320</v>
      </c>
    </row>
    <row r="208" spans="1:6" s="22" customFormat="1" ht="69.75" customHeight="1">
      <c r="A208" s="2">
        <v>206</v>
      </c>
      <c r="B208" s="28" t="s">
        <v>324</v>
      </c>
      <c r="C208" s="25" t="s">
        <v>272</v>
      </c>
      <c r="D208" s="2">
        <f t="shared" si="3"/>
        <v>1970</v>
      </c>
      <c r="E208" s="17">
        <v>0</v>
      </c>
      <c r="F208" s="18">
        <v>1970</v>
      </c>
    </row>
    <row r="209" spans="1:6" s="22" customFormat="1" ht="57" customHeight="1">
      <c r="A209" s="2">
        <v>207</v>
      </c>
      <c r="B209" s="28" t="s">
        <v>67</v>
      </c>
      <c r="C209" s="25" t="s">
        <v>273</v>
      </c>
      <c r="D209" s="2">
        <f t="shared" si="3"/>
        <v>82135</v>
      </c>
      <c r="E209" s="17">
        <v>0</v>
      </c>
      <c r="F209" s="18">
        <v>82135</v>
      </c>
    </row>
    <row r="210" spans="1:6" s="22" customFormat="1" ht="57" customHeight="1">
      <c r="A210" s="2">
        <v>208</v>
      </c>
      <c r="B210" s="28" t="s">
        <v>274</v>
      </c>
      <c r="C210" s="25" t="s">
        <v>275</v>
      </c>
      <c r="D210" s="2">
        <f t="shared" si="3"/>
        <v>3187.1</v>
      </c>
      <c r="E210" s="17">
        <v>0</v>
      </c>
      <c r="F210" s="18">
        <v>3187.1</v>
      </c>
    </row>
    <row r="211" spans="1:6" s="22" customFormat="1" ht="88.5" customHeight="1">
      <c r="A211" s="2">
        <v>209</v>
      </c>
      <c r="B211" s="29" t="s">
        <v>276</v>
      </c>
      <c r="C211" s="26" t="s">
        <v>277</v>
      </c>
      <c r="D211" s="2">
        <f t="shared" si="3"/>
        <v>32180.799999999999</v>
      </c>
      <c r="E211" s="27">
        <v>0</v>
      </c>
      <c r="F211" s="19">
        <v>32180.799999999999</v>
      </c>
    </row>
    <row r="212" spans="1:6" s="44" customFormat="1" ht="189.75">
      <c r="A212" s="45">
        <v>210</v>
      </c>
      <c r="B212" s="40" t="s">
        <v>326</v>
      </c>
      <c r="C212" s="41" t="s">
        <v>327</v>
      </c>
      <c r="D212" s="42">
        <v>371355.7</v>
      </c>
      <c r="E212" s="42">
        <v>0</v>
      </c>
      <c r="F212" s="43">
        <v>371355.72</v>
      </c>
    </row>
  </sheetData>
  <pageMargins left="0.7" right="0.7" top="0.75" bottom="0.2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303"/>
  <sheetViews>
    <sheetView tabSelected="1" topLeftCell="A17" workbookViewId="0">
      <selection activeCell="D227" sqref="D227"/>
    </sheetView>
  </sheetViews>
  <sheetFormatPr defaultRowHeight="15"/>
  <cols>
    <col min="1" max="1" width="7.140625" style="16" customWidth="1"/>
    <col min="2" max="2" width="58.28515625" style="30" customWidth="1"/>
    <col min="3" max="3" width="37.42578125" style="16" customWidth="1"/>
    <col min="4" max="6" width="18.42578125" style="16" customWidth="1"/>
    <col min="7" max="16384" width="9.140625" style="35"/>
  </cols>
  <sheetData>
    <row r="1" spans="1:6" ht="44.25" customHeight="1">
      <c r="F1" s="37" t="s">
        <v>278</v>
      </c>
    </row>
    <row r="2" spans="1:6" s="36" customFormat="1" ht="84" customHeight="1">
      <c r="A2" s="15" t="s">
        <v>314</v>
      </c>
      <c r="B2" s="14" t="s">
        <v>23</v>
      </c>
      <c r="C2" s="14" t="s">
        <v>24</v>
      </c>
      <c r="D2" s="14" t="s">
        <v>313</v>
      </c>
      <c r="E2" s="14" t="s">
        <v>279</v>
      </c>
      <c r="F2" s="14" t="s">
        <v>312</v>
      </c>
    </row>
    <row r="3" spans="1:6" ht="39" customHeight="1">
      <c r="A3" s="2">
        <v>1</v>
      </c>
      <c r="B3" s="5" t="s">
        <v>25</v>
      </c>
      <c r="C3" s="6" t="s">
        <v>26</v>
      </c>
      <c r="D3" s="7">
        <f>E3+F3</f>
        <v>63045.4</v>
      </c>
      <c r="E3" s="2">
        <v>63045.4</v>
      </c>
      <c r="F3" s="17">
        <v>0</v>
      </c>
    </row>
    <row r="4" spans="1:6" ht="39" customHeight="1">
      <c r="A4" s="2">
        <v>2</v>
      </c>
      <c r="B4" s="5" t="s">
        <v>28</v>
      </c>
      <c r="C4" s="6" t="s">
        <v>26</v>
      </c>
      <c r="D4" s="7">
        <f t="shared" ref="D4:D64" si="0">E4+F4</f>
        <v>70198.3</v>
      </c>
      <c r="E4" s="2">
        <v>70198.3</v>
      </c>
      <c r="F4" s="17">
        <v>0</v>
      </c>
    </row>
    <row r="5" spans="1:6" ht="39" customHeight="1">
      <c r="A5" s="2">
        <v>3</v>
      </c>
      <c r="B5" s="5" t="s">
        <v>29</v>
      </c>
      <c r="C5" s="6" t="s">
        <v>26</v>
      </c>
      <c r="D5" s="7">
        <f t="shared" si="0"/>
        <v>62383.95</v>
      </c>
      <c r="E5" s="7">
        <v>62383.95</v>
      </c>
      <c r="F5" s="17">
        <v>0</v>
      </c>
    </row>
    <row r="6" spans="1:6" ht="39" customHeight="1">
      <c r="A6" s="2">
        <v>4</v>
      </c>
      <c r="B6" s="5" t="s">
        <v>325</v>
      </c>
      <c r="C6" s="6" t="s">
        <v>26</v>
      </c>
      <c r="D6" s="7">
        <f t="shared" si="0"/>
        <v>61835.4</v>
      </c>
      <c r="E6" s="2">
        <v>61835.4</v>
      </c>
      <c r="F6" s="17">
        <v>0</v>
      </c>
    </row>
    <row r="7" spans="1:6" ht="39" customHeight="1">
      <c r="A7" s="2">
        <v>5</v>
      </c>
      <c r="B7" s="5" t="s">
        <v>31</v>
      </c>
      <c r="C7" s="6" t="s">
        <v>26</v>
      </c>
      <c r="D7" s="7">
        <f t="shared" si="0"/>
        <v>89546.7</v>
      </c>
      <c r="E7" s="2">
        <v>89546.7</v>
      </c>
      <c r="F7" s="17">
        <v>0</v>
      </c>
    </row>
    <row r="8" spans="1:6" ht="39" customHeight="1">
      <c r="A8" s="2">
        <v>6</v>
      </c>
      <c r="B8" s="5" t="s">
        <v>32</v>
      </c>
      <c r="C8" s="6" t="s">
        <v>26</v>
      </c>
      <c r="D8" s="7">
        <f t="shared" si="0"/>
        <v>64607.7</v>
      </c>
      <c r="E8" s="2">
        <v>64607.7</v>
      </c>
      <c r="F8" s="17">
        <v>0</v>
      </c>
    </row>
    <row r="9" spans="1:6" ht="39" customHeight="1">
      <c r="A9" s="2">
        <v>7</v>
      </c>
      <c r="B9" s="5" t="s">
        <v>33</v>
      </c>
      <c r="C9" s="6" t="s">
        <v>26</v>
      </c>
      <c r="D9" s="7">
        <f t="shared" si="0"/>
        <v>80676.899999999994</v>
      </c>
      <c r="E9" s="2">
        <v>80676.899999999994</v>
      </c>
      <c r="F9" s="17">
        <v>0</v>
      </c>
    </row>
    <row r="10" spans="1:6" ht="39" customHeight="1">
      <c r="A10" s="2">
        <v>8</v>
      </c>
      <c r="B10" s="5" t="s">
        <v>34</v>
      </c>
      <c r="C10" s="6" t="s">
        <v>26</v>
      </c>
      <c r="D10" s="7">
        <f t="shared" si="0"/>
        <v>63517.7</v>
      </c>
      <c r="E10" s="2">
        <v>63517.7</v>
      </c>
      <c r="F10" s="17">
        <v>0</v>
      </c>
    </row>
    <row r="11" spans="1:6" ht="39" customHeight="1">
      <c r="A11" s="2">
        <v>9</v>
      </c>
      <c r="B11" s="5" t="s">
        <v>35</v>
      </c>
      <c r="C11" s="6" t="s">
        <v>26</v>
      </c>
      <c r="D11" s="7">
        <f t="shared" si="0"/>
        <v>149881.29999999999</v>
      </c>
      <c r="E11" s="2">
        <v>149881.29999999999</v>
      </c>
      <c r="F11" s="17">
        <v>0</v>
      </c>
    </row>
    <row r="12" spans="1:6" ht="39" customHeight="1">
      <c r="A12" s="2">
        <v>10</v>
      </c>
      <c r="B12" s="5" t="s">
        <v>36</v>
      </c>
      <c r="C12" s="6" t="s">
        <v>26</v>
      </c>
      <c r="D12" s="7">
        <f t="shared" si="0"/>
        <v>81598.8</v>
      </c>
      <c r="E12" s="2">
        <v>81598.8</v>
      </c>
      <c r="F12" s="17">
        <v>0</v>
      </c>
    </row>
    <row r="13" spans="1:6" ht="39" customHeight="1">
      <c r="A13" s="2">
        <v>11</v>
      </c>
      <c r="B13" s="5" t="s">
        <v>37</v>
      </c>
      <c r="C13" s="6" t="s">
        <v>26</v>
      </c>
      <c r="D13" s="7">
        <f t="shared" si="0"/>
        <v>42956.65</v>
      </c>
      <c r="E13" s="7">
        <v>42956.65</v>
      </c>
      <c r="F13" s="17">
        <v>0</v>
      </c>
    </row>
    <row r="14" spans="1:6" ht="39" customHeight="1">
      <c r="A14" s="2">
        <v>12</v>
      </c>
      <c r="B14" s="5" t="s">
        <v>38</v>
      </c>
      <c r="C14" s="6" t="s">
        <v>26</v>
      </c>
      <c r="D14" s="7">
        <f t="shared" si="0"/>
        <v>38538.300000000003</v>
      </c>
      <c r="E14" s="2">
        <v>38538.300000000003</v>
      </c>
      <c r="F14" s="17">
        <v>0</v>
      </c>
    </row>
    <row r="15" spans="1:6" ht="39" customHeight="1">
      <c r="A15" s="2">
        <v>13</v>
      </c>
      <c r="B15" s="5" t="s">
        <v>39</v>
      </c>
      <c r="C15" s="6" t="s">
        <v>26</v>
      </c>
      <c r="D15" s="7">
        <f t="shared" si="0"/>
        <v>46499.45</v>
      </c>
      <c r="E15" s="7">
        <v>46499.45</v>
      </c>
      <c r="F15" s="17">
        <v>0</v>
      </c>
    </row>
    <row r="16" spans="1:6" ht="39" customHeight="1">
      <c r="A16" s="2">
        <v>14</v>
      </c>
      <c r="B16" s="5" t="s">
        <v>40</v>
      </c>
      <c r="C16" s="6" t="s">
        <v>26</v>
      </c>
      <c r="D16" s="7">
        <f t="shared" si="0"/>
        <v>59651.199999999997</v>
      </c>
      <c r="E16" s="2">
        <v>59651.199999999997</v>
      </c>
      <c r="F16" s="17">
        <v>0</v>
      </c>
    </row>
    <row r="17" spans="1:6" ht="39" customHeight="1">
      <c r="A17" s="2">
        <v>15</v>
      </c>
      <c r="B17" s="5" t="s">
        <v>41</v>
      </c>
      <c r="C17" s="6" t="s">
        <v>26</v>
      </c>
      <c r="D17" s="7">
        <f t="shared" si="0"/>
        <v>37160.400000000001</v>
      </c>
      <c r="E17" s="2">
        <v>37160.400000000001</v>
      </c>
      <c r="F17" s="17">
        <v>0</v>
      </c>
    </row>
    <row r="18" spans="1:6" ht="39" customHeight="1">
      <c r="A18" s="2">
        <v>16</v>
      </c>
      <c r="B18" s="5" t="s">
        <v>42</v>
      </c>
      <c r="C18" s="6" t="s">
        <v>26</v>
      </c>
      <c r="D18" s="7">
        <f t="shared" si="0"/>
        <v>98379.6</v>
      </c>
      <c r="E18" s="2">
        <v>98379.6</v>
      </c>
      <c r="F18" s="17">
        <v>0</v>
      </c>
    </row>
    <row r="19" spans="1:6" ht="39" customHeight="1">
      <c r="A19" s="2">
        <v>17</v>
      </c>
      <c r="B19" s="5" t="s">
        <v>43</v>
      </c>
      <c r="C19" s="6" t="s">
        <v>26</v>
      </c>
      <c r="D19" s="7">
        <f t="shared" si="0"/>
        <v>63719.4</v>
      </c>
      <c r="E19" s="2">
        <v>63719.4</v>
      </c>
      <c r="F19" s="17">
        <v>0</v>
      </c>
    </row>
    <row r="20" spans="1:6" ht="39" customHeight="1">
      <c r="A20" s="2">
        <v>18</v>
      </c>
      <c r="B20" s="5" t="s">
        <v>44</v>
      </c>
      <c r="C20" s="6" t="s">
        <v>26</v>
      </c>
      <c r="D20" s="7">
        <f t="shared" si="0"/>
        <v>35006.699999999997</v>
      </c>
      <c r="E20" s="2">
        <v>35006.699999999997</v>
      </c>
      <c r="F20" s="17">
        <v>0</v>
      </c>
    </row>
    <row r="21" spans="1:6" ht="39" customHeight="1">
      <c r="A21" s="2">
        <v>19</v>
      </c>
      <c r="B21" s="5" t="s">
        <v>45</v>
      </c>
      <c r="C21" s="6" t="s">
        <v>26</v>
      </c>
      <c r="D21" s="7">
        <f t="shared" si="0"/>
        <v>46424</v>
      </c>
      <c r="E21" s="2">
        <v>46424</v>
      </c>
      <c r="F21" s="17">
        <v>0</v>
      </c>
    </row>
    <row r="22" spans="1:6" ht="39" customHeight="1">
      <c r="A22" s="2">
        <v>20</v>
      </c>
      <c r="B22" s="5" t="s">
        <v>46</v>
      </c>
      <c r="C22" s="6" t="s">
        <v>26</v>
      </c>
      <c r="D22" s="7">
        <f t="shared" si="0"/>
        <v>50014.3</v>
      </c>
      <c r="E22" s="2">
        <v>50014.3</v>
      </c>
      <c r="F22" s="17">
        <v>0</v>
      </c>
    </row>
    <row r="23" spans="1:6" ht="39" customHeight="1">
      <c r="A23" s="2">
        <v>21</v>
      </c>
      <c r="B23" s="5" t="s">
        <v>47</v>
      </c>
      <c r="C23" s="6" t="s">
        <v>26</v>
      </c>
      <c r="D23" s="7">
        <f t="shared" si="0"/>
        <v>45656.2</v>
      </c>
      <c r="E23" s="2">
        <v>45656.2</v>
      </c>
      <c r="F23" s="17">
        <v>0</v>
      </c>
    </row>
    <row r="24" spans="1:6" ht="39" customHeight="1">
      <c r="A24" s="2">
        <v>22</v>
      </c>
      <c r="B24" s="5" t="s">
        <v>48</v>
      </c>
      <c r="C24" s="6" t="s">
        <v>26</v>
      </c>
      <c r="D24" s="7">
        <f t="shared" si="0"/>
        <v>32115.35</v>
      </c>
      <c r="E24" s="2">
        <v>32115.35</v>
      </c>
      <c r="F24" s="17">
        <v>0</v>
      </c>
    </row>
    <row r="25" spans="1:6" ht="39" customHeight="1">
      <c r="A25" s="2">
        <v>23</v>
      </c>
      <c r="B25" s="5" t="s">
        <v>49</v>
      </c>
      <c r="C25" s="6" t="s">
        <v>26</v>
      </c>
      <c r="D25" s="7">
        <f t="shared" si="0"/>
        <v>45865.4</v>
      </c>
      <c r="E25" s="2">
        <v>45865.4</v>
      </c>
      <c r="F25" s="17">
        <v>0</v>
      </c>
    </row>
    <row r="26" spans="1:6" ht="39" customHeight="1">
      <c r="A26" s="2">
        <v>24</v>
      </c>
      <c r="B26" s="5" t="s">
        <v>50</v>
      </c>
      <c r="C26" s="6" t="s">
        <v>26</v>
      </c>
      <c r="D26" s="7">
        <f t="shared" si="0"/>
        <v>64247.4</v>
      </c>
      <c r="E26" s="2">
        <v>64247.4</v>
      </c>
      <c r="F26" s="17">
        <v>0</v>
      </c>
    </row>
    <row r="27" spans="1:6" ht="39" customHeight="1">
      <c r="A27" s="2">
        <v>25</v>
      </c>
      <c r="B27" s="5" t="s">
        <v>51</v>
      </c>
      <c r="C27" s="6" t="s">
        <v>26</v>
      </c>
      <c r="D27" s="7">
        <f t="shared" si="0"/>
        <v>78427.3</v>
      </c>
      <c r="E27" s="2">
        <v>78427.3</v>
      </c>
      <c r="F27" s="17">
        <v>0</v>
      </c>
    </row>
    <row r="28" spans="1:6" ht="39" customHeight="1">
      <c r="A28" s="2">
        <v>26</v>
      </c>
      <c r="B28" s="5" t="s">
        <v>52</v>
      </c>
      <c r="C28" s="6" t="s">
        <v>26</v>
      </c>
      <c r="D28" s="7">
        <f t="shared" si="0"/>
        <v>24942.35</v>
      </c>
      <c r="E28" s="2">
        <v>24942.35</v>
      </c>
      <c r="F28" s="17">
        <v>0</v>
      </c>
    </row>
    <row r="29" spans="1:6" ht="39" customHeight="1">
      <c r="A29" s="2">
        <v>27</v>
      </c>
      <c r="B29" s="5" t="s">
        <v>53</v>
      </c>
      <c r="C29" s="6" t="s">
        <v>26</v>
      </c>
      <c r="D29" s="7">
        <f t="shared" si="0"/>
        <v>18022.2</v>
      </c>
      <c r="E29" s="2">
        <v>18022.2</v>
      </c>
      <c r="F29" s="17">
        <v>0</v>
      </c>
    </row>
    <row r="30" spans="1:6" ht="39" customHeight="1">
      <c r="A30" s="2">
        <v>28</v>
      </c>
      <c r="B30" s="5" t="s">
        <v>54</v>
      </c>
      <c r="C30" s="6" t="s">
        <v>26</v>
      </c>
      <c r="D30" s="7">
        <f t="shared" si="0"/>
        <v>214832.245</v>
      </c>
      <c r="E30" s="7">
        <v>214832.245</v>
      </c>
      <c r="F30" s="17">
        <v>0</v>
      </c>
    </row>
    <row r="31" spans="1:6" ht="39" customHeight="1">
      <c r="A31" s="2">
        <v>29</v>
      </c>
      <c r="B31" s="5" t="s">
        <v>55</v>
      </c>
      <c r="C31" s="6" t="s">
        <v>26</v>
      </c>
      <c r="D31" s="7">
        <f t="shared" si="0"/>
        <v>41047.9</v>
      </c>
      <c r="E31" s="2">
        <v>41047.9</v>
      </c>
      <c r="F31" s="17">
        <v>0</v>
      </c>
    </row>
    <row r="32" spans="1:6" ht="39" customHeight="1">
      <c r="A32" s="2">
        <v>30</v>
      </c>
      <c r="B32" s="5" t="s">
        <v>56</v>
      </c>
      <c r="C32" s="6" t="s">
        <v>26</v>
      </c>
      <c r="D32" s="7">
        <f t="shared" si="0"/>
        <v>109669.7</v>
      </c>
      <c r="E32" s="2">
        <v>109669.7</v>
      </c>
      <c r="F32" s="17">
        <v>0</v>
      </c>
    </row>
    <row r="33" spans="1:6" ht="39" customHeight="1">
      <c r="A33" s="2">
        <v>31</v>
      </c>
      <c r="B33" s="5" t="s">
        <v>57</v>
      </c>
      <c r="C33" s="6" t="s">
        <v>26</v>
      </c>
      <c r="D33" s="7">
        <f t="shared" si="0"/>
        <v>250342.6</v>
      </c>
      <c r="E33" s="2">
        <v>250342.6</v>
      </c>
      <c r="F33" s="17">
        <v>0</v>
      </c>
    </row>
    <row r="34" spans="1:6" ht="39" customHeight="1">
      <c r="A34" s="2">
        <v>32</v>
      </c>
      <c r="B34" s="5" t="s">
        <v>58</v>
      </c>
      <c r="C34" s="6" t="s">
        <v>26</v>
      </c>
      <c r="D34" s="7">
        <f t="shared" si="0"/>
        <v>93533.1</v>
      </c>
      <c r="E34" s="2">
        <v>93533.1</v>
      </c>
      <c r="F34" s="17">
        <v>0</v>
      </c>
    </row>
    <row r="35" spans="1:6" ht="39" customHeight="1">
      <c r="A35" s="2">
        <v>33</v>
      </c>
      <c r="B35" s="5" t="s">
        <v>59</v>
      </c>
      <c r="C35" s="6" t="s">
        <v>26</v>
      </c>
      <c r="D35" s="7">
        <f t="shared" si="0"/>
        <v>51654.3</v>
      </c>
      <c r="E35" s="2">
        <v>51654.3</v>
      </c>
      <c r="F35" s="17">
        <v>0</v>
      </c>
    </row>
    <row r="36" spans="1:6" ht="39" customHeight="1">
      <c r="A36" s="2">
        <v>34</v>
      </c>
      <c r="B36" s="5" t="s">
        <v>86</v>
      </c>
      <c r="C36" s="6" t="s">
        <v>26</v>
      </c>
      <c r="D36" s="7">
        <f t="shared" si="0"/>
        <v>120790.7</v>
      </c>
      <c r="E36" s="2">
        <v>120790.7</v>
      </c>
      <c r="F36" s="17">
        <v>0</v>
      </c>
    </row>
    <row r="37" spans="1:6" ht="39" customHeight="1">
      <c r="A37" s="2">
        <v>35</v>
      </c>
      <c r="B37" s="5" t="s">
        <v>60</v>
      </c>
      <c r="C37" s="6" t="s">
        <v>26</v>
      </c>
      <c r="D37" s="7">
        <f t="shared" si="0"/>
        <v>90611.8</v>
      </c>
      <c r="E37" s="2">
        <v>90611.8</v>
      </c>
      <c r="F37" s="17">
        <v>0</v>
      </c>
    </row>
    <row r="38" spans="1:6" ht="57" customHeight="1">
      <c r="A38" s="2">
        <v>36</v>
      </c>
      <c r="B38" s="5" t="s">
        <v>61</v>
      </c>
      <c r="C38" s="8" t="s">
        <v>62</v>
      </c>
      <c r="D38" s="7">
        <f t="shared" si="0"/>
        <v>310601.5</v>
      </c>
      <c r="E38" s="17">
        <v>0</v>
      </c>
      <c r="F38" s="2">
        <v>310601.5</v>
      </c>
    </row>
    <row r="39" spans="1:6" ht="57" customHeight="1">
      <c r="A39" s="2">
        <v>37</v>
      </c>
      <c r="B39" s="5" t="s">
        <v>63</v>
      </c>
      <c r="C39" s="8" t="s">
        <v>62</v>
      </c>
      <c r="D39" s="7">
        <f t="shared" si="0"/>
        <v>247776.6</v>
      </c>
      <c r="E39" s="17">
        <v>0</v>
      </c>
      <c r="F39" s="2">
        <v>247776.6</v>
      </c>
    </row>
    <row r="40" spans="1:6" ht="57" customHeight="1">
      <c r="A40" s="2">
        <v>38</v>
      </c>
      <c r="B40" s="5" t="s">
        <v>64</v>
      </c>
      <c r="C40" s="8" t="s">
        <v>62</v>
      </c>
      <c r="D40" s="7">
        <f t="shared" si="0"/>
        <v>70479</v>
      </c>
      <c r="E40" s="17">
        <v>0</v>
      </c>
      <c r="F40" s="7">
        <v>70479</v>
      </c>
    </row>
    <row r="41" spans="1:6" ht="69" customHeight="1">
      <c r="A41" s="2">
        <v>39</v>
      </c>
      <c r="B41" s="3" t="s">
        <v>75</v>
      </c>
      <c r="C41" s="8" t="s">
        <v>76</v>
      </c>
      <c r="D41" s="7">
        <f t="shared" si="0"/>
        <v>73000</v>
      </c>
      <c r="E41" s="17">
        <v>0</v>
      </c>
      <c r="F41" s="7">
        <v>73000</v>
      </c>
    </row>
    <row r="42" spans="1:6" ht="69" customHeight="1">
      <c r="A42" s="2">
        <v>40</v>
      </c>
      <c r="B42" s="5" t="s">
        <v>77</v>
      </c>
      <c r="C42" s="8" t="s">
        <v>76</v>
      </c>
      <c r="D42" s="7">
        <f t="shared" si="0"/>
        <v>70000</v>
      </c>
      <c r="E42" s="17">
        <v>0</v>
      </c>
      <c r="F42" s="7">
        <v>70000</v>
      </c>
    </row>
    <row r="43" spans="1:6" ht="69" customHeight="1">
      <c r="A43" s="2">
        <v>41</v>
      </c>
      <c r="B43" s="5" t="s">
        <v>78</v>
      </c>
      <c r="C43" s="8" t="s">
        <v>76</v>
      </c>
      <c r="D43" s="7">
        <f t="shared" si="0"/>
        <v>55000</v>
      </c>
      <c r="E43" s="17">
        <v>0</v>
      </c>
      <c r="F43" s="7">
        <v>55000</v>
      </c>
    </row>
    <row r="44" spans="1:6" ht="69" customHeight="1">
      <c r="A44" s="2">
        <v>42</v>
      </c>
      <c r="B44" s="3" t="s">
        <v>79</v>
      </c>
      <c r="C44" s="8" t="s">
        <v>76</v>
      </c>
      <c r="D44" s="7">
        <f t="shared" si="0"/>
        <v>52000</v>
      </c>
      <c r="E44" s="17">
        <v>0</v>
      </c>
      <c r="F44" s="7">
        <v>52000</v>
      </c>
    </row>
    <row r="45" spans="1:6" ht="69" customHeight="1">
      <c r="A45" s="2">
        <v>43</v>
      </c>
      <c r="B45" s="5" t="s">
        <v>80</v>
      </c>
      <c r="C45" s="8" t="s">
        <v>76</v>
      </c>
      <c r="D45" s="7">
        <f t="shared" si="0"/>
        <v>50000</v>
      </c>
      <c r="E45" s="17">
        <v>0</v>
      </c>
      <c r="F45" s="7">
        <v>50000</v>
      </c>
    </row>
    <row r="46" spans="1:6" ht="69" customHeight="1">
      <c r="A46" s="2">
        <v>44</v>
      </c>
      <c r="B46" s="5" t="s">
        <v>81</v>
      </c>
      <c r="C46" s="8" t="s">
        <v>76</v>
      </c>
      <c r="D46" s="7">
        <f t="shared" si="0"/>
        <v>20000</v>
      </c>
      <c r="E46" s="17">
        <v>0</v>
      </c>
      <c r="F46" s="7">
        <v>20000</v>
      </c>
    </row>
    <row r="47" spans="1:6" ht="50.25" customHeight="1">
      <c r="A47" s="2">
        <v>45</v>
      </c>
      <c r="B47" s="11" t="s">
        <v>52</v>
      </c>
      <c r="C47" s="9" t="s">
        <v>82</v>
      </c>
      <c r="D47" s="7">
        <f t="shared" si="0"/>
        <v>4650</v>
      </c>
      <c r="E47" s="17">
        <v>0</v>
      </c>
      <c r="F47" s="10">
        <v>4650</v>
      </c>
    </row>
    <row r="48" spans="1:6" ht="50.25" customHeight="1">
      <c r="A48" s="2">
        <v>46</v>
      </c>
      <c r="B48" s="12" t="s">
        <v>31</v>
      </c>
      <c r="C48" s="9" t="s">
        <v>82</v>
      </c>
      <c r="D48" s="7">
        <f t="shared" si="0"/>
        <v>995</v>
      </c>
      <c r="E48" s="17">
        <v>0</v>
      </c>
      <c r="F48" s="10">
        <v>995</v>
      </c>
    </row>
    <row r="49" spans="1:6" ht="107.25" customHeight="1">
      <c r="A49" s="2">
        <v>47</v>
      </c>
      <c r="B49" s="12" t="s">
        <v>83</v>
      </c>
      <c r="C49" s="6" t="s">
        <v>85</v>
      </c>
      <c r="D49" s="7">
        <f t="shared" si="0"/>
        <v>16243.6</v>
      </c>
      <c r="E49" s="17">
        <v>0</v>
      </c>
      <c r="F49" s="10">
        <v>16243.6</v>
      </c>
    </row>
    <row r="50" spans="1:6" ht="57" customHeight="1">
      <c r="A50" s="2">
        <v>48</v>
      </c>
      <c r="B50" s="5" t="s">
        <v>65</v>
      </c>
      <c r="C50" s="4" t="s">
        <v>66</v>
      </c>
      <c r="D50" s="7">
        <f t="shared" si="0"/>
        <v>7701.3</v>
      </c>
      <c r="E50" s="17">
        <v>0</v>
      </c>
      <c r="F50" s="2">
        <v>7701.3</v>
      </c>
    </row>
    <row r="51" spans="1:6" ht="57" customHeight="1">
      <c r="A51" s="2">
        <v>49</v>
      </c>
      <c r="B51" s="5" t="s">
        <v>67</v>
      </c>
      <c r="C51" s="4" t="s">
        <v>68</v>
      </c>
      <c r="D51" s="7">
        <f t="shared" si="0"/>
        <v>33452</v>
      </c>
      <c r="E51" s="17">
        <v>0</v>
      </c>
      <c r="F51" s="2">
        <v>33452</v>
      </c>
    </row>
    <row r="52" spans="1:6" ht="69" customHeight="1">
      <c r="A52" s="2">
        <v>50</v>
      </c>
      <c r="B52" s="3" t="s">
        <v>0</v>
      </c>
      <c r="C52" s="4" t="s">
        <v>1</v>
      </c>
      <c r="D52" s="7">
        <f t="shared" si="0"/>
        <v>184870.44</v>
      </c>
      <c r="E52" s="17">
        <v>0</v>
      </c>
      <c r="F52" s="10">
        <v>184870.44</v>
      </c>
    </row>
    <row r="53" spans="1:6" ht="57" customHeight="1">
      <c r="A53" s="2">
        <v>51</v>
      </c>
      <c r="B53" s="5" t="s">
        <v>2</v>
      </c>
      <c r="C53" s="6" t="s">
        <v>3</v>
      </c>
      <c r="D53" s="7">
        <f t="shared" si="0"/>
        <v>23846</v>
      </c>
      <c r="E53" s="17">
        <v>0</v>
      </c>
      <c r="F53" s="10">
        <v>23846</v>
      </c>
    </row>
    <row r="54" spans="1:6" ht="39" customHeight="1">
      <c r="A54" s="2">
        <v>52</v>
      </c>
      <c r="B54" s="3" t="s">
        <v>4</v>
      </c>
      <c r="C54" s="4" t="s">
        <v>5</v>
      </c>
      <c r="D54" s="7">
        <f t="shared" si="0"/>
        <v>36531.9</v>
      </c>
      <c r="E54" s="17">
        <v>0</v>
      </c>
      <c r="F54" s="10">
        <v>36531.9</v>
      </c>
    </row>
    <row r="55" spans="1:6" ht="39" customHeight="1">
      <c r="A55" s="2">
        <v>53</v>
      </c>
      <c r="B55" s="5" t="s">
        <v>15</v>
      </c>
      <c r="C55" s="4" t="s">
        <v>7</v>
      </c>
      <c r="D55" s="7">
        <f t="shared" si="0"/>
        <v>2131</v>
      </c>
      <c r="E55" s="17">
        <v>0</v>
      </c>
      <c r="F55" s="10">
        <v>2131</v>
      </c>
    </row>
    <row r="56" spans="1:6" ht="39" customHeight="1">
      <c r="A56" s="2">
        <v>54</v>
      </c>
      <c r="B56" s="5" t="s">
        <v>16</v>
      </c>
      <c r="C56" s="4" t="s">
        <v>7</v>
      </c>
      <c r="D56" s="7">
        <f t="shared" si="0"/>
        <v>2200</v>
      </c>
      <c r="E56" s="17">
        <v>0</v>
      </c>
      <c r="F56" s="10">
        <v>2200</v>
      </c>
    </row>
    <row r="57" spans="1:6" ht="39" customHeight="1">
      <c r="A57" s="2">
        <v>55</v>
      </c>
      <c r="B57" s="5" t="s">
        <v>17</v>
      </c>
      <c r="C57" s="4" t="s">
        <v>7</v>
      </c>
      <c r="D57" s="7">
        <f t="shared" si="0"/>
        <v>2339.46</v>
      </c>
      <c r="E57" s="17">
        <v>0</v>
      </c>
      <c r="F57" s="10">
        <v>2339.46</v>
      </c>
    </row>
    <row r="58" spans="1:6" ht="39" customHeight="1">
      <c r="A58" s="2">
        <v>56</v>
      </c>
      <c r="B58" s="3" t="s">
        <v>18</v>
      </c>
      <c r="C58" s="4" t="s">
        <v>7</v>
      </c>
      <c r="D58" s="7">
        <f t="shared" si="0"/>
        <v>2348.326</v>
      </c>
      <c r="E58" s="17">
        <v>0</v>
      </c>
      <c r="F58" s="10">
        <v>2348.326</v>
      </c>
    </row>
    <row r="59" spans="1:6" ht="39" customHeight="1">
      <c r="A59" s="2">
        <v>57</v>
      </c>
      <c r="B59" s="3" t="s">
        <v>19</v>
      </c>
      <c r="C59" s="4" t="s">
        <v>7</v>
      </c>
      <c r="D59" s="7">
        <f t="shared" si="0"/>
        <v>2265.6999999999998</v>
      </c>
      <c r="E59" s="17">
        <v>0</v>
      </c>
      <c r="F59" s="10">
        <v>2265.6999999999998</v>
      </c>
    </row>
    <row r="60" spans="1:6" ht="39" customHeight="1">
      <c r="A60" s="2">
        <v>58</v>
      </c>
      <c r="B60" s="3" t="s">
        <v>20</v>
      </c>
      <c r="C60" s="4" t="s">
        <v>7</v>
      </c>
      <c r="D60" s="7">
        <f t="shared" si="0"/>
        <v>2372.0149999999999</v>
      </c>
      <c r="E60" s="17">
        <v>0</v>
      </c>
      <c r="F60" s="10">
        <v>2372.0149999999999</v>
      </c>
    </row>
    <row r="61" spans="1:6" ht="39" customHeight="1">
      <c r="A61" s="2">
        <v>59</v>
      </c>
      <c r="B61" s="3" t="s">
        <v>21</v>
      </c>
      <c r="C61" s="4" t="s">
        <v>7</v>
      </c>
      <c r="D61" s="7">
        <f t="shared" si="0"/>
        <v>2147</v>
      </c>
      <c r="E61" s="17">
        <v>0</v>
      </c>
      <c r="F61" s="10">
        <v>2147</v>
      </c>
    </row>
    <row r="62" spans="1:6" ht="39" customHeight="1">
      <c r="A62" s="2">
        <v>60</v>
      </c>
      <c r="B62" s="3" t="s">
        <v>22</v>
      </c>
      <c r="C62" s="4" t="s">
        <v>7</v>
      </c>
      <c r="D62" s="7">
        <f t="shared" si="0"/>
        <v>2135.4</v>
      </c>
      <c r="E62" s="17">
        <v>0</v>
      </c>
      <c r="F62" s="10">
        <v>2135.4</v>
      </c>
    </row>
    <row r="63" spans="1:6" ht="39" customHeight="1">
      <c r="A63" s="2">
        <v>61</v>
      </c>
      <c r="B63" s="3" t="s">
        <v>12</v>
      </c>
      <c r="C63" s="4" t="s">
        <v>7</v>
      </c>
      <c r="D63" s="7">
        <f t="shared" si="0"/>
        <v>2105</v>
      </c>
      <c r="E63" s="17">
        <v>0</v>
      </c>
      <c r="F63" s="10">
        <v>2105</v>
      </c>
    </row>
    <row r="64" spans="1:6" ht="39" customHeight="1">
      <c r="A64" s="2">
        <v>62</v>
      </c>
      <c r="B64" s="3" t="s">
        <v>14</v>
      </c>
      <c r="C64" s="4" t="s">
        <v>7</v>
      </c>
      <c r="D64" s="7">
        <f t="shared" si="0"/>
        <v>997</v>
      </c>
      <c r="E64" s="21">
        <v>0</v>
      </c>
      <c r="F64" s="10">
        <v>997</v>
      </c>
    </row>
    <row r="65" spans="1:6" s="16" customFormat="1" ht="69" customHeight="1">
      <c r="A65" s="2">
        <v>63</v>
      </c>
      <c r="B65" s="28" t="s">
        <v>88</v>
      </c>
      <c r="C65" s="20" t="s">
        <v>89</v>
      </c>
      <c r="D65" s="7">
        <f t="shared" ref="D65:D128" si="1">E65+F65</f>
        <v>108018.7</v>
      </c>
      <c r="E65" s="21">
        <f>107393</f>
        <v>107393</v>
      </c>
      <c r="F65" s="18">
        <v>625.70000000000005</v>
      </c>
    </row>
    <row r="66" spans="1:6" s="16" customFormat="1" ht="39" customHeight="1">
      <c r="A66" s="2">
        <v>64</v>
      </c>
      <c r="B66" s="28" t="s">
        <v>90</v>
      </c>
      <c r="C66" s="20" t="s">
        <v>91</v>
      </c>
      <c r="D66" s="7">
        <f t="shared" si="1"/>
        <v>70607</v>
      </c>
      <c r="E66" s="21">
        <v>70607</v>
      </c>
      <c r="F66" s="18">
        <v>0</v>
      </c>
    </row>
    <row r="67" spans="1:6" s="16" customFormat="1" ht="39" customHeight="1">
      <c r="A67" s="2">
        <v>65</v>
      </c>
      <c r="B67" s="28" t="s">
        <v>92</v>
      </c>
      <c r="C67" s="20" t="s">
        <v>91</v>
      </c>
      <c r="D67" s="7">
        <f t="shared" si="1"/>
        <v>132396.4</v>
      </c>
      <c r="E67" s="21">
        <v>132396.4</v>
      </c>
      <c r="F67" s="18">
        <v>0</v>
      </c>
    </row>
    <row r="68" spans="1:6" s="16" customFormat="1" ht="69" customHeight="1">
      <c r="A68" s="2">
        <v>66</v>
      </c>
      <c r="B68" s="28" t="s">
        <v>93</v>
      </c>
      <c r="C68" s="20" t="s">
        <v>89</v>
      </c>
      <c r="D68" s="7">
        <f t="shared" si="1"/>
        <v>53940.800000000003</v>
      </c>
      <c r="E68" s="21">
        <f>53632.4</f>
        <v>53632.4</v>
      </c>
      <c r="F68" s="18">
        <v>308.39999999999998</v>
      </c>
    </row>
    <row r="69" spans="1:6" s="16" customFormat="1" ht="39" customHeight="1">
      <c r="A69" s="2">
        <v>67</v>
      </c>
      <c r="B69" s="28" t="s">
        <v>94</v>
      </c>
      <c r="C69" s="20" t="s">
        <v>91</v>
      </c>
      <c r="D69" s="7">
        <f t="shared" si="1"/>
        <v>74733.2</v>
      </c>
      <c r="E69" s="21">
        <v>74733.2</v>
      </c>
      <c r="F69" s="18">
        <v>0</v>
      </c>
    </row>
    <row r="70" spans="1:6" s="16" customFormat="1" ht="69" customHeight="1">
      <c r="A70" s="2">
        <v>68</v>
      </c>
      <c r="B70" s="28" t="s">
        <v>95</v>
      </c>
      <c r="C70" s="20" t="s">
        <v>89</v>
      </c>
      <c r="D70" s="7">
        <f t="shared" si="1"/>
        <v>112602.4</v>
      </c>
      <c r="E70" s="21">
        <f>112179.7</f>
        <v>112179.7</v>
      </c>
      <c r="F70" s="18">
        <v>422.7</v>
      </c>
    </row>
    <row r="71" spans="1:6" s="16" customFormat="1" ht="69" customHeight="1">
      <c r="A71" s="2">
        <v>69</v>
      </c>
      <c r="B71" s="28" t="s">
        <v>96</v>
      </c>
      <c r="C71" s="20" t="s">
        <v>89</v>
      </c>
      <c r="D71" s="7">
        <f t="shared" si="1"/>
        <v>95099.199999999997</v>
      </c>
      <c r="E71" s="21">
        <v>94063.2</v>
      </c>
      <c r="F71" s="18">
        <v>1036</v>
      </c>
    </row>
    <row r="72" spans="1:6" s="16" customFormat="1" ht="69" customHeight="1">
      <c r="A72" s="2">
        <v>70</v>
      </c>
      <c r="B72" s="28" t="s">
        <v>97</v>
      </c>
      <c r="C72" s="20" t="s">
        <v>89</v>
      </c>
      <c r="D72" s="7">
        <f t="shared" si="1"/>
        <v>146064.40000000002</v>
      </c>
      <c r="E72" s="21">
        <v>143924.70000000001</v>
      </c>
      <c r="F72" s="18">
        <v>2139.6999999999998</v>
      </c>
    </row>
    <row r="73" spans="1:6" s="16" customFormat="1" ht="69" customHeight="1">
      <c r="A73" s="2">
        <v>71</v>
      </c>
      <c r="B73" s="28" t="s">
        <v>98</v>
      </c>
      <c r="C73" s="20" t="s">
        <v>89</v>
      </c>
      <c r="D73" s="7">
        <f t="shared" si="1"/>
        <v>105074.4</v>
      </c>
      <c r="E73" s="21">
        <v>103753</v>
      </c>
      <c r="F73" s="18">
        <v>1321.4</v>
      </c>
    </row>
    <row r="74" spans="1:6" s="16" customFormat="1" ht="39" customHeight="1">
      <c r="A74" s="2">
        <v>72</v>
      </c>
      <c r="B74" s="28" t="s">
        <v>323</v>
      </c>
      <c r="C74" s="20" t="s">
        <v>99</v>
      </c>
      <c r="D74" s="7">
        <f t="shared" si="1"/>
        <v>110584.5</v>
      </c>
      <c r="E74" s="21">
        <f>102463.3+8121.2</f>
        <v>110584.5</v>
      </c>
      <c r="F74" s="18">
        <v>0</v>
      </c>
    </row>
    <row r="75" spans="1:6" s="16" customFormat="1" ht="69" customHeight="1">
      <c r="A75" s="2">
        <v>73</v>
      </c>
      <c r="B75" s="28" t="s">
        <v>100</v>
      </c>
      <c r="C75" s="20" t="s">
        <v>89</v>
      </c>
      <c r="D75" s="7">
        <f t="shared" si="1"/>
        <v>81613.7</v>
      </c>
      <c r="E75" s="21">
        <v>81424.2</v>
      </c>
      <c r="F75" s="18">
        <v>189.5</v>
      </c>
    </row>
    <row r="76" spans="1:6" s="16" customFormat="1" ht="69" customHeight="1">
      <c r="A76" s="2">
        <v>74</v>
      </c>
      <c r="B76" s="28" t="s">
        <v>101</v>
      </c>
      <c r="C76" s="20" t="s">
        <v>89</v>
      </c>
      <c r="D76" s="7">
        <f t="shared" si="1"/>
        <v>58061.8</v>
      </c>
      <c r="E76" s="21">
        <v>57976.800000000003</v>
      </c>
      <c r="F76" s="18">
        <v>85</v>
      </c>
    </row>
    <row r="77" spans="1:6" s="16" customFormat="1" ht="89.25" customHeight="1">
      <c r="A77" s="2">
        <v>75</v>
      </c>
      <c r="B77" s="28" t="s">
        <v>102</v>
      </c>
      <c r="C77" s="20" t="s">
        <v>103</v>
      </c>
      <c r="D77" s="7">
        <f t="shared" si="1"/>
        <v>120491.4</v>
      </c>
      <c r="E77" s="21">
        <f>107343.9</f>
        <v>107343.9</v>
      </c>
      <c r="F77" s="18">
        <v>13147.5</v>
      </c>
    </row>
    <row r="78" spans="1:6" s="16" customFormat="1" ht="69" customHeight="1">
      <c r="A78" s="2">
        <v>76</v>
      </c>
      <c r="B78" s="28" t="s">
        <v>104</v>
      </c>
      <c r="C78" s="20" t="s">
        <v>89</v>
      </c>
      <c r="D78" s="7">
        <f t="shared" si="1"/>
        <v>71612.399999999994</v>
      </c>
      <c r="E78" s="21">
        <v>71325.5</v>
      </c>
      <c r="F78" s="18">
        <v>286.89999999999998</v>
      </c>
    </row>
    <row r="79" spans="1:6" s="16" customFormat="1" ht="69" customHeight="1">
      <c r="A79" s="2">
        <v>77</v>
      </c>
      <c r="B79" s="28" t="s">
        <v>105</v>
      </c>
      <c r="C79" s="20" t="s">
        <v>89</v>
      </c>
      <c r="D79" s="7">
        <f t="shared" si="1"/>
        <v>53848.9</v>
      </c>
      <c r="E79" s="21">
        <v>53561.9</v>
      </c>
      <c r="F79" s="18">
        <v>287</v>
      </c>
    </row>
    <row r="80" spans="1:6" s="16" customFormat="1" ht="39" customHeight="1">
      <c r="A80" s="2">
        <v>78</v>
      </c>
      <c r="B80" s="28" t="s">
        <v>106</v>
      </c>
      <c r="C80" s="20" t="s">
        <v>91</v>
      </c>
      <c r="D80" s="7">
        <f t="shared" si="1"/>
        <v>88889.4</v>
      </c>
      <c r="E80" s="21">
        <v>88889.4</v>
      </c>
      <c r="F80" s="18">
        <v>0</v>
      </c>
    </row>
    <row r="81" spans="1:6" s="16" customFormat="1" ht="69" customHeight="1">
      <c r="A81" s="2">
        <v>79</v>
      </c>
      <c r="B81" s="28" t="s">
        <v>107</v>
      </c>
      <c r="C81" s="20" t="s">
        <v>280</v>
      </c>
      <c r="D81" s="7">
        <f t="shared" si="1"/>
        <v>144029.69999999998</v>
      </c>
      <c r="E81" s="21">
        <v>143739.29999999999</v>
      </c>
      <c r="F81" s="18">
        <v>290.39999999999998</v>
      </c>
    </row>
    <row r="82" spans="1:6" s="16" customFormat="1" ht="69" customHeight="1">
      <c r="A82" s="2">
        <v>80</v>
      </c>
      <c r="B82" s="28" t="s">
        <v>108</v>
      </c>
      <c r="C82" s="20" t="s">
        <v>89</v>
      </c>
      <c r="D82" s="7">
        <f t="shared" si="1"/>
        <v>53127.4</v>
      </c>
      <c r="E82" s="21">
        <v>52962.400000000001</v>
      </c>
      <c r="F82" s="18">
        <v>165</v>
      </c>
    </row>
    <row r="83" spans="1:6" s="16" customFormat="1" ht="69" customHeight="1">
      <c r="A83" s="2">
        <v>81</v>
      </c>
      <c r="B83" s="28" t="s">
        <v>109</v>
      </c>
      <c r="C83" s="20" t="s">
        <v>89</v>
      </c>
      <c r="D83" s="7">
        <f t="shared" si="1"/>
        <v>107475.4</v>
      </c>
      <c r="E83" s="21">
        <v>105933</v>
      </c>
      <c r="F83" s="18">
        <v>1542.4</v>
      </c>
    </row>
    <row r="84" spans="1:6" s="16" customFormat="1" ht="69" customHeight="1">
      <c r="A84" s="2">
        <v>82</v>
      </c>
      <c r="B84" s="28" t="s">
        <v>110</v>
      </c>
      <c r="C84" s="20" t="s">
        <v>111</v>
      </c>
      <c r="D84" s="7">
        <f t="shared" si="1"/>
        <v>195761.3</v>
      </c>
      <c r="E84" s="21">
        <v>195309.5</v>
      </c>
      <c r="F84" s="18">
        <v>451.8</v>
      </c>
    </row>
    <row r="85" spans="1:6" s="16" customFormat="1" ht="69" customHeight="1">
      <c r="A85" s="2">
        <v>83</v>
      </c>
      <c r="B85" s="28" t="s">
        <v>112</v>
      </c>
      <c r="C85" s="20" t="s">
        <v>89</v>
      </c>
      <c r="D85" s="7">
        <f t="shared" si="1"/>
        <v>108949.7</v>
      </c>
      <c r="E85" s="21">
        <v>108763.7</v>
      </c>
      <c r="F85" s="18">
        <v>186</v>
      </c>
    </row>
    <row r="86" spans="1:6" s="16" customFormat="1" ht="69" customHeight="1">
      <c r="A86" s="2">
        <v>84</v>
      </c>
      <c r="B86" s="28" t="s">
        <v>114</v>
      </c>
      <c r="C86" s="20" t="s">
        <v>89</v>
      </c>
      <c r="D86" s="7">
        <f t="shared" si="1"/>
        <v>115819.2</v>
      </c>
      <c r="E86" s="21">
        <v>113851.7</v>
      </c>
      <c r="F86" s="18">
        <v>1967.5</v>
      </c>
    </row>
    <row r="87" spans="1:6" s="16" customFormat="1" ht="69" customHeight="1">
      <c r="A87" s="2">
        <v>85</v>
      </c>
      <c r="B87" s="28" t="s">
        <v>115</v>
      </c>
      <c r="C87" s="20" t="s">
        <v>89</v>
      </c>
      <c r="D87" s="7">
        <f t="shared" si="1"/>
        <v>51203.4</v>
      </c>
      <c r="E87" s="21">
        <v>51031.3</v>
      </c>
      <c r="F87" s="18">
        <v>172.1</v>
      </c>
    </row>
    <row r="88" spans="1:6" s="16" customFormat="1" ht="69" customHeight="1">
      <c r="A88" s="2">
        <v>86</v>
      </c>
      <c r="B88" s="28" t="s">
        <v>116</v>
      </c>
      <c r="C88" s="20" t="s">
        <v>89</v>
      </c>
      <c r="D88" s="7">
        <f t="shared" si="1"/>
        <v>102984.29999999999</v>
      </c>
      <c r="E88" s="21">
        <v>102840.9</v>
      </c>
      <c r="F88" s="18">
        <v>143.4</v>
      </c>
    </row>
    <row r="89" spans="1:6" s="16" customFormat="1" ht="69" customHeight="1">
      <c r="A89" s="2">
        <v>87</v>
      </c>
      <c r="B89" s="28" t="s">
        <v>117</v>
      </c>
      <c r="C89" s="20" t="s">
        <v>89</v>
      </c>
      <c r="D89" s="7">
        <f t="shared" si="1"/>
        <v>58666.1</v>
      </c>
      <c r="E89" s="21">
        <v>57948.9</v>
      </c>
      <c r="F89" s="18">
        <v>717.2</v>
      </c>
    </row>
    <row r="90" spans="1:6" s="16" customFormat="1" ht="69" customHeight="1">
      <c r="A90" s="2">
        <v>88</v>
      </c>
      <c r="B90" s="28" t="s">
        <v>118</v>
      </c>
      <c r="C90" s="20" t="s">
        <v>280</v>
      </c>
      <c r="D90" s="7">
        <f t="shared" si="1"/>
        <v>114888.59999999999</v>
      </c>
      <c r="E90" s="21">
        <v>114462.2</v>
      </c>
      <c r="F90" s="18">
        <v>426.4</v>
      </c>
    </row>
    <row r="91" spans="1:6" s="16" customFormat="1" ht="69" customHeight="1">
      <c r="A91" s="2">
        <v>89</v>
      </c>
      <c r="B91" s="28" t="s">
        <v>119</v>
      </c>
      <c r="C91" s="20" t="s">
        <v>89</v>
      </c>
      <c r="D91" s="7">
        <f t="shared" si="1"/>
        <v>112285.2</v>
      </c>
      <c r="E91" s="21">
        <v>111296.8</v>
      </c>
      <c r="F91" s="18">
        <v>988.4</v>
      </c>
    </row>
    <row r="92" spans="1:6" s="16" customFormat="1" ht="69" customHeight="1">
      <c r="A92" s="2">
        <v>90</v>
      </c>
      <c r="B92" s="28" t="s">
        <v>120</v>
      </c>
      <c r="C92" s="20" t="s">
        <v>89</v>
      </c>
      <c r="D92" s="7">
        <f t="shared" si="1"/>
        <v>126213.6</v>
      </c>
      <c r="E92" s="21">
        <v>125664</v>
      </c>
      <c r="F92" s="18">
        <v>549.6</v>
      </c>
    </row>
    <row r="93" spans="1:6" s="16" customFormat="1" ht="69" customHeight="1">
      <c r="A93" s="2">
        <v>91</v>
      </c>
      <c r="B93" s="28" t="s">
        <v>121</v>
      </c>
      <c r="C93" s="20" t="s">
        <v>89</v>
      </c>
      <c r="D93" s="7">
        <f t="shared" si="1"/>
        <v>102042.90000000001</v>
      </c>
      <c r="E93" s="21">
        <v>101781.8</v>
      </c>
      <c r="F93" s="18">
        <v>261.10000000000002</v>
      </c>
    </row>
    <row r="94" spans="1:6" s="16" customFormat="1" ht="69" customHeight="1">
      <c r="A94" s="2">
        <v>92</v>
      </c>
      <c r="B94" s="28" t="s">
        <v>122</v>
      </c>
      <c r="C94" s="20" t="s">
        <v>89</v>
      </c>
      <c r="D94" s="7">
        <f t="shared" si="1"/>
        <v>179697.30000000002</v>
      </c>
      <c r="E94" s="21">
        <v>178557.6</v>
      </c>
      <c r="F94" s="18">
        <v>1139.7</v>
      </c>
    </row>
    <row r="95" spans="1:6" s="16" customFormat="1" ht="69" customHeight="1">
      <c r="A95" s="2">
        <v>93</v>
      </c>
      <c r="B95" s="28" t="s">
        <v>123</v>
      </c>
      <c r="C95" s="20" t="s">
        <v>89</v>
      </c>
      <c r="D95" s="7">
        <f t="shared" si="1"/>
        <v>111652</v>
      </c>
      <c r="E95" s="21">
        <v>110820.4</v>
      </c>
      <c r="F95" s="18">
        <v>831.6</v>
      </c>
    </row>
    <row r="96" spans="1:6" s="16" customFormat="1" ht="69" customHeight="1">
      <c r="A96" s="2">
        <v>94</v>
      </c>
      <c r="B96" s="28" t="s">
        <v>124</v>
      </c>
      <c r="C96" s="20" t="s">
        <v>89</v>
      </c>
      <c r="D96" s="7">
        <f t="shared" si="1"/>
        <v>62358.1</v>
      </c>
      <c r="E96" s="21">
        <v>61834.2</v>
      </c>
      <c r="F96" s="18">
        <v>523.9</v>
      </c>
    </row>
    <row r="97" spans="1:6" s="16" customFormat="1" ht="87.75" customHeight="1">
      <c r="A97" s="2">
        <v>95</v>
      </c>
      <c r="B97" s="28" t="s">
        <v>320</v>
      </c>
      <c r="C97" s="20" t="s">
        <v>281</v>
      </c>
      <c r="D97" s="7">
        <f t="shared" si="1"/>
        <v>181303.69999999998</v>
      </c>
      <c r="E97" s="21">
        <v>180247.4</v>
      </c>
      <c r="F97" s="18">
        <v>1056.3</v>
      </c>
    </row>
    <row r="98" spans="1:6" s="16" customFormat="1" ht="69" customHeight="1">
      <c r="A98" s="2">
        <v>96</v>
      </c>
      <c r="B98" s="28" t="s">
        <v>321</v>
      </c>
      <c r="C98" s="20" t="s">
        <v>280</v>
      </c>
      <c r="D98" s="7">
        <f t="shared" si="1"/>
        <v>248956.40000000002</v>
      </c>
      <c r="E98" s="21">
        <v>248358.7</v>
      </c>
      <c r="F98" s="18">
        <v>597.70000000000005</v>
      </c>
    </row>
    <row r="99" spans="1:6" s="16" customFormat="1" ht="69" customHeight="1">
      <c r="A99" s="2">
        <v>97</v>
      </c>
      <c r="B99" s="28" t="s">
        <v>322</v>
      </c>
      <c r="C99" s="20" t="s">
        <v>89</v>
      </c>
      <c r="D99" s="7">
        <f t="shared" si="1"/>
        <v>161054.1</v>
      </c>
      <c r="E99" s="21">
        <v>160336.70000000001</v>
      </c>
      <c r="F99" s="18">
        <v>717.4</v>
      </c>
    </row>
    <row r="100" spans="1:6" s="16" customFormat="1" ht="69" customHeight="1">
      <c r="A100" s="2">
        <v>98</v>
      </c>
      <c r="B100" s="28" t="s">
        <v>126</v>
      </c>
      <c r="C100" s="20" t="s">
        <v>89</v>
      </c>
      <c r="D100" s="7">
        <f t="shared" si="1"/>
        <v>68264.7</v>
      </c>
      <c r="E100" s="21">
        <v>67990.7</v>
      </c>
      <c r="F100" s="18">
        <v>274</v>
      </c>
    </row>
    <row r="101" spans="1:6" s="16" customFormat="1" ht="69" customHeight="1">
      <c r="A101" s="2">
        <v>99</v>
      </c>
      <c r="B101" s="28" t="s">
        <v>128</v>
      </c>
      <c r="C101" s="20" t="s">
        <v>89</v>
      </c>
      <c r="D101" s="7">
        <f t="shared" si="1"/>
        <v>113202.7</v>
      </c>
      <c r="E101" s="21">
        <v>112068.7</v>
      </c>
      <c r="F101" s="18">
        <v>1134</v>
      </c>
    </row>
    <row r="102" spans="1:6" s="16" customFormat="1" ht="57" customHeight="1">
      <c r="A102" s="2">
        <v>100</v>
      </c>
      <c r="B102" s="28" t="s">
        <v>319</v>
      </c>
      <c r="C102" s="20" t="s">
        <v>282</v>
      </c>
      <c r="D102" s="7">
        <f t="shared" si="1"/>
        <v>71144.600000000006</v>
      </c>
      <c r="E102" s="21">
        <f>67787.8+3356.8</f>
        <v>71144.600000000006</v>
      </c>
      <c r="F102" s="18">
        <v>0</v>
      </c>
    </row>
    <row r="103" spans="1:6" s="16" customFormat="1" ht="69" customHeight="1">
      <c r="A103" s="2">
        <v>101</v>
      </c>
      <c r="B103" s="28" t="s">
        <v>130</v>
      </c>
      <c r="C103" s="20" t="s">
        <v>283</v>
      </c>
      <c r="D103" s="7">
        <f t="shared" si="1"/>
        <v>692745.29999999993</v>
      </c>
      <c r="E103" s="21">
        <f>546979.2+19382.5</f>
        <v>566361.69999999995</v>
      </c>
      <c r="F103" s="18">
        <v>126383.6</v>
      </c>
    </row>
    <row r="104" spans="1:6" s="16" customFormat="1" ht="69" customHeight="1">
      <c r="A104" s="2">
        <v>102</v>
      </c>
      <c r="B104" s="28" t="s">
        <v>132</v>
      </c>
      <c r="C104" s="20" t="s">
        <v>89</v>
      </c>
      <c r="D104" s="7">
        <f t="shared" si="1"/>
        <v>93529.600000000006</v>
      </c>
      <c r="E104" s="21">
        <v>93212.800000000003</v>
      </c>
      <c r="F104" s="18">
        <v>316.8</v>
      </c>
    </row>
    <row r="105" spans="1:6" s="16" customFormat="1" ht="104.25" customHeight="1">
      <c r="A105" s="2">
        <v>103</v>
      </c>
      <c r="B105" s="28" t="s">
        <v>133</v>
      </c>
      <c r="C105" s="20" t="s">
        <v>134</v>
      </c>
      <c r="D105" s="7">
        <f t="shared" si="1"/>
        <v>68970.900000000009</v>
      </c>
      <c r="E105" s="21">
        <f>67691.8</f>
        <v>67691.8</v>
      </c>
      <c r="F105" s="18">
        <f>1126+153.1</f>
        <v>1279.0999999999999</v>
      </c>
    </row>
    <row r="106" spans="1:6" s="16" customFormat="1" ht="104.25" customHeight="1">
      <c r="A106" s="2">
        <v>104</v>
      </c>
      <c r="B106" s="28" t="s">
        <v>135</v>
      </c>
      <c r="C106" s="20" t="s">
        <v>134</v>
      </c>
      <c r="D106" s="7">
        <f t="shared" si="1"/>
        <v>46326.8</v>
      </c>
      <c r="E106" s="21">
        <f>45200.4</f>
        <v>45200.4</v>
      </c>
      <c r="F106" s="18">
        <f>796.4+330</f>
        <v>1126.4000000000001</v>
      </c>
    </row>
    <row r="107" spans="1:6" s="16" customFormat="1" ht="104.25" customHeight="1">
      <c r="A107" s="2">
        <v>105</v>
      </c>
      <c r="B107" s="28" t="s">
        <v>136</v>
      </c>
      <c r="C107" s="20" t="s">
        <v>284</v>
      </c>
      <c r="D107" s="7">
        <f t="shared" si="1"/>
        <v>66874.5</v>
      </c>
      <c r="E107" s="21">
        <f>65688.9</f>
        <v>65688.899999999994</v>
      </c>
      <c r="F107" s="18">
        <f>366+819.6</f>
        <v>1185.5999999999999</v>
      </c>
    </row>
    <row r="108" spans="1:6" s="16" customFormat="1" ht="69" customHeight="1">
      <c r="A108" s="2">
        <v>106</v>
      </c>
      <c r="B108" s="28" t="s">
        <v>137</v>
      </c>
      <c r="C108" s="20" t="s">
        <v>138</v>
      </c>
      <c r="D108" s="7">
        <f t="shared" si="1"/>
        <v>59934.400000000001</v>
      </c>
      <c r="E108" s="21">
        <v>59661</v>
      </c>
      <c r="F108" s="18">
        <v>273.39999999999998</v>
      </c>
    </row>
    <row r="109" spans="1:6" s="16" customFormat="1" ht="39" customHeight="1">
      <c r="A109" s="2">
        <v>107</v>
      </c>
      <c r="B109" s="28" t="s">
        <v>139</v>
      </c>
      <c r="C109" s="20" t="s">
        <v>91</v>
      </c>
      <c r="D109" s="7">
        <f t="shared" si="1"/>
        <v>75929</v>
      </c>
      <c r="E109" s="21">
        <v>75929</v>
      </c>
      <c r="F109" s="18"/>
    </row>
    <row r="110" spans="1:6" s="16" customFormat="1" ht="104.25" customHeight="1">
      <c r="A110" s="2">
        <v>108</v>
      </c>
      <c r="B110" s="28" t="s">
        <v>140</v>
      </c>
      <c r="C110" s="20" t="s">
        <v>134</v>
      </c>
      <c r="D110" s="7">
        <f t="shared" si="1"/>
        <v>36328.899999999994</v>
      </c>
      <c r="E110" s="21">
        <f>35821.7</f>
        <v>35821.699999999997</v>
      </c>
      <c r="F110" s="18">
        <f>228.8+278.4</f>
        <v>507.2</v>
      </c>
    </row>
    <row r="111" spans="1:6" s="16" customFormat="1" ht="104.25" customHeight="1">
      <c r="A111" s="2">
        <v>109</v>
      </c>
      <c r="B111" s="28" t="s">
        <v>141</v>
      </c>
      <c r="C111" s="20" t="s">
        <v>134</v>
      </c>
      <c r="D111" s="7">
        <f t="shared" si="1"/>
        <v>59993.100000000006</v>
      </c>
      <c r="E111" s="21">
        <v>58441.8</v>
      </c>
      <c r="F111" s="18">
        <f>48.3+1503</f>
        <v>1551.3</v>
      </c>
    </row>
    <row r="112" spans="1:6" s="16" customFormat="1" ht="69" customHeight="1">
      <c r="A112" s="2">
        <v>110</v>
      </c>
      <c r="B112" s="28" t="s">
        <v>142</v>
      </c>
      <c r="C112" s="20" t="s">
        <v>89</v>
      </c>
      <c r="D112" s="7">
        <f t="shared" si="1"/>
        <v>81105.900000000009</v>
      </c>
      <c r="E112" s="21">
        <v>80147.100000000006</v>
      </c>
      <c r="F112" s="18">
        <v>958.8</v>
      </c>
    </row>
    <row r="113" spans="1:6" s="16" customFormat="1" ht="104.25" customHeight="1">
      <c r="A113" s="2">
        <v>111</v>
      </c>
      <c r="B113" s="28" t="s">
        <v>143</v>
      </c>
      <c r="C113" s="20" t="s">
        <v>134</v>
      </c>
      <c r="D113" s="7">
        <f t="shared" si="1"/>
        <v>70869.7</v>
      </c>
      <c r="E113" s="21">
        <f>69900.2</f>
        <v>69900.2</v>
      </c>
      <c r="F113" s="18">
        <f>527.4+442.1</f>
        <v>969.5</v>
      </c>
    </row>
    <row r="114" spans="1:6" s="16" customFormat="1" ht="104.25" customHeight="1">
      <c r="A114" s="2">
        <v>112</v>
      </c>
      <c r="B114" s="28" t="s">
        <v>144</v>
      </c>
      <c r="C114" s="20" t="s">
        <v>134</v>
      </c>
      <c r="D114" s="7">
        <f t="shared" si="1"/>
        <v>76908.5</v>
      </c>
      <c r="E114" s="21">
        <f>76301.5</f>
        <v>76301.5</v>
      </c>
      <c r="F114" s="18">
        <f>33.3+573.7</f>
        <v>607</v>
      </c>
    </row>
    <row r="115" spans="1:6" s="16" customFormat="1" ht="69" customHeight="1">
      <c r="A115" s="2">
        <v>113</v>
      </c>
      <c r="B115" s="28" t="s">
        <v>145</v>
      </c>
      <c r="C115" s="20" t="s">
        <v>138</v>
      </c>
      <c r="D115" s="7">
        <f t="shared" si="1"/>
        <v>101187.1</v>
      </c>
      <c r="E115" s="21">
        <f>100273.8</f>
        <v>100273.8</v>
      </c>
      <c r="F115" s="18">
        <v>913.3</v>
      </c>
    </row>
    <row r="116" spans="1:6" s="16" customFormat="1" ht="104.25" customHeight="1">
      <c r="A116" s="2">
        <v>114</v>
      </c>
      <c r="B116" s="28" t="s">
        <v>146</v>
      </c>
      <c r="C116" s="20" t="s">
        <v>134</v>
      </c>
      <c r="D116" s="7">
        <f t="shared" si="1"/>
        <v>66891.100000000006</v>
      </c>
      <c r="E116" s="21">
        <f>66543.6</f>
        <v>66543.600000000006</v>
      </c>
      <c r="F116" s="18">
        <f>257.3+90.2</f>
        <v>347.5</v>
      </c>
    </row>
    <row r="117" spans="1:6" s="16" customFormat="1" ht="39" customHeight="1">
      <c r="A117" s="2">
        <v>115</v>
      </c>
      <c r="B117" s="28" t="s">
        <v>147</v>
      </c>
      <c r="C117" s="20" t="s">
        <v>91</v>
      </c>
      <c r="D117" s="7">
        <f t="shared" si="1"/>
        <v>69272.600000000006</v>
      </c>
      <c r="E117" s="21">
        <v>69272.600000000006</v>
      </c>
      <c r="F117" s="18">
        <v>0</v>
      </c>
    </row>
    <row r="118" spans="1:6" s="16" customFormat="1" ht="69" customHeight="1">
      <c r="A118" s="2">
        <v>116</v>
      </c>
      <c r="B118" s="28" t="s">
        <v>148</v>
      </c>
      <c r="C118" s="20" t="s">
        <v>89</v>
      </c>
      <c r="D118" s="7">
        <f t="shared" si="1"/>
        <v>64717.799999999996</v>
      </c>
      <c r="E118" s="21">
        <v>63306.2</v>
      </c>
      <c r="F118" s="18">
        <v>1411.6</v>
      </c>
    </row>
    <row r="119" spans="1:6" s="16" customFormat="1" ht="104.25" customHeight="1">
      <c r="A119" s="2">
        <v>117</v>
      </c>
      <c r="B119" s="28" t="s">
        <v>149</v>
      </c>
      <c r="C119" s="20" t="s">
        <v>134</v>
      </c>
      <c r="D119" s="7">
        <f t="shared" si="1"/>
        <v>75699.3</v>
      </c>
      <c r="E119" s="21">
        <f>73036</f>
        <v>73036</v>
      </c>
      <c r="F119" s="18">
        <f>451.1+2212.2</f>
        <v>2663.2999999999997</v>
      </c>
    </row>
    <row r="120" spans="1:6" s="16" customFormat="1" ht="118.5" customHeight="1">
      <c r="A120" s="2">
        <v>118</v>
      </c>
      <c r="B120" s="28" t="s">
        <v>150</v>
      </c>
      <c r="C120" s="20" t="s">
        <v>285</v>
      </c>
      <c r="D120" s="7">
        <f t="shared" si="1"/>
        <v>90747.8</v>
      </c>
      <c r="E120" s="21">
        <v>90247.6</v>
      </c>
      <c r="F120" s="18">
        <f>145+355.2</f>
        <v>500.2</v>
      </c>
    </row>
    <row r="121" spans="1:6" s="16" customFormat="1" ht="69" customHeight="1">
      <c r="A121" s="2">
        <v>119</v>
      </c>
      <c r="B121" s="28" t="s">
        <v>151</v>
      </c>
      <c r="C121" s="20" t="s">
        <v>138</v>
      </c>
      <c r="D121" s="7">
        <f t="shared" si="1"/>
        <v>49061.599999999999</v>
      </c>
      <c r="E121" s="21">
        <f>48912.1</f>
        <v>48912.1</v>
      </c>
      <c r="F121" s="18">
        <v>149.5</v>
      </c>
    </row>
    <row r="122" spans="1:6" s="16" customFormat="1" ht="104.25" customHeight="1">
      <c r="A122" s="2">
        <v>120</v>
      </c>
      <c r="B122" s="28" t="s">
        <v>152</v>
      </c>
      <c r="C122" s="20" t="s">
        <v>134</v>
      </c>
      <c r="D122" s="7">
        <f t="shared" si="1"/>
        <v>50742.5</v>
      </c>
      <c r="E122" s="21">
        <f>49827.8</f>
        <v>49827.8</v>
      </c>
      <c r="F122" s="18">
        <f>85+829.7</f>
        <v>914.7</v>
      </c>
    </row>
    <row r="123" spans="1:6" s="16" customFormat="1" ht="69" customHeight="1">
      <c r="A123" s="2">
        <v>121</v>
      </c>
      <c r="B123" s="28" t="s">
        <v>153</v>
      </c>
      <c r="C123" s="20" t="s">
        <v>138</v>
      </c>
      <c r="D123" s="7">
        <f t="shared" si="1"/>
        <v>47150</v>
      </c>
      <c r="E123" s="21">
        <f>47128.4</f>
        <v>47128.4</v>
      </c>
      <c r="F123" s="18">
        <v>21.6</v>
      </c>
    </row>
    <row r="124" spans="1:6" s="16" customFormat="1" ht="69" customHeight="1">
      <c r="A124" s="2">
        <v>122</v>
      </c>
      <c r="B124" s="28" t="s">
        <v>154</v>
      </c>
      <c r="C124" s="20" t="s">
        <v>89</v>
      </c>
      <c r="D124" s="7">
        <f t="shared" si="1"/>
        <v>74010.299999999988</v>
      </c>
      <c r="E124" s="21">
        <v>73455.899999999994</v>
      </c>
      <c r="F124" s="18">
        <v>554.4</v>
      </c>
    </row>
    <row r="125" spans="1:6" s="16" customFormat="1" ht="102.75" customHeight="1">
      <c r="A125" s="2">
        <v>123</v>
      </c>
      <c r="B125" s="28" t="s">
        <v>155</v>
      </c>
      <c r="C125" s="20" t="s">
        <v>286</v>
      </c>
      <c r="D125" s="7">
        <f t="shared" si="1"/>
        <v>51351.4</v>
      </c>
      <c r="E125" s="21">
        <f>49257.6+1516</f>
        <v>50773.599999999999</v>
      </c>
      <c r="F125" s="18">
        <v>577.79999999999995</v>
      </c>
    </row>
    <row r="126" spans="1:6" s="16" customFormat="1" ht="104.25" customHeight="1">
      <c r="A126" s="2">
        <v>124</v>
      </c>
      <c r="B126" s="28" t="s">
        <v>157</v>
      </c>
      <c r="C126" s="20" t="s">
        <v>284</v>
      </c>
      <c r="D126" s="7">
        <f t="shared" si="1"/>
        <v>76275.899999999994</v>
      </c>
      <c r="E126" s="21">
        <f>74468.9</f>
        <v>74468.899999999994</v>
      </c>
      <c r="F126" s="18">
        <f>226.7+1580.3</f>
        <v>1807</v>
      </c>
    </row>
    <row r="127" spans="1:6" s="16" customFormat="1" ht="69" customHeight="1">
      <c r="A127" s="2">
        <v>125</v>
      </c>
      <c r="B127" s="28" t="s">
        <v>158</v>
      </c>
      <c r="C127" s="20" t="s">
        <v>280</v>
      </c>
      <c r="D127" s="7">
        <f t="shared" si="1"/>
        <v>44808.800000000003</v>
      </c>
      <c r="E127" s="21">
        <v>44056</v>
      </c>
      <c r="F127" s="18">
        <v>752.8</v>
      </c>
    </row>
    <row r="128" spans="1:6" s="16" customFormat="1" ht="69" customHeight="1">
      <c r="A128" s="2">
        <v>126</v>
      </c>
      <c r="B128" s="28" t="s">
        <v>159</v>
      </c>
      <c r="C128" s="20" t="s">
        <v>280</v>
      </c>
      <c r="D128" s="7">
        <f t="shared" si="1"/>
        <v>122617.60000000001</v>
      </c>
      <c r="E128" s="21">
        <v>119656.5</v>
      </c>
      <c r="F128" s="18">
        <v>2961.1</v>
      </c>
    </row>
    <row r="129" spans="1:6" s="16" customFormat="1" ht="69" customHeight="1">
      <c r="A129" s="2">
        <v>127</v>
      </c>
      <c r="B129" s="28" t="s">
        <v>160</v>
      </c>
      <c r="C129" s="20" t="s">
        <v>138</v>
      </c>
      <c r="D129" s="7">
        <f t="shared" ref="D129:D192" si="2">E129+F129</f>
        <v>44391</v>
      </c>
      <c r="E129" s="21">
        <f>42856.6</f>
        <v>42856.6</v>
      </c>
      <c r="F129" s="18">
        <f>70.8+1463.6</f>
        <v>1534.3999999999999</v>
      </c>
    </row>
    <row r="130" spans="1:6" s="16" customFormat="1" ht="69" customHeight="1">
      <c r="A130" s="2">
        <v>128</v>
      </c>
      <c r="B130" s="28" t="s">
        <v>161</v>
      </c>
      <c r="C130" s="20" t="s">
        <v>89</v>
      </c>
      <c r="D130" s="7">
        <f t="shared" si="2"/>
        <v>37715.5</v>
      </c>
      <c r="E130" s="21">
        <v>36603.199999999997</v>
      </c>
      <c r="F130" s="18">
        <v>1112.3</v>
      </c>
    </row>
    <row r="131" spans="1:6" s="16" customFormat="1" ht="69" customHeight="1">
      <c r="A131" s="2">
        <v>129</v>
      </c>
      <c r="B131" s="28" t="s">
        <v>162</v>
      </c>
      <c r="C131" s="20" t="s">
        <v>89</v>
      </c>
      <c r="D131" s="7">
        <f t="shared" si="2"/>
        <v>95745.9</v>
      </c>
      <c r="E131" s="21">
        <v>94646.399999999994</v>
      </c>
      <c r="F131" s="18">
        <v>1099.5</v>
      </c>
    </row>
    <row r="132" spans="1:6" s="16" customFormat="1" ht="104.25" customHeight="1">
      <c r="A132" s="2">
        <v>130</v>
      </c>
      <c r="B132" s="28" t="s">
        <v>163</v>
      </c>
      <c r="C132" s="20" t="s">
        <v>134</v>
      </c>
      <c r="D132" s="7">
        <f t="shared" si="2"/>
        <v>25359.5</v>
      </c>
      <c r="E132" s="21">
        <f>25147.4</f>
        <v>25147.4</v>
      </c>
      <c r="F132" s="18">
        <f>64.3+147.8</f>
        <v>212.10000000000002</v>
      </c>
    </row>
    <row r="133" spans="1:6" s="16" customFormat="1" ht="104.25" customHeight="1">
      <c r="A133" s="2">
        <v>131</v>
      </c>
      <c r="B133" s="28" t="s">
        <v>164</v>
      </c>
      <c r="C133" s="20" t="s">
        <v>134</v>
      </c>
      <c r="D133" s="7">
        <f t="shared" si="2"/>
        <v>36894.800000000003</v>
      </c>
      <c r="E133" s="21">
        <f>36568.8</f>
        <v>36568.800000000003</v>
      </c>
      <c r="F133" s="18">
        <f>179.3+146.7</f>
        <v>326</v>
      </c>
    </row>
    <row r="134" spans="1:6" s="16" customFormat="1" ht="91.5" customHeight="1">
      <c r="A134" s="2">
        <v>132</v>
      </c>
      <c r="B134" s="28" t="s">
        <v>165</v>
      </c>
      <c r="C134" s="20" t="s">
        <v>177</v>
      </c>
      <c r="D134" s="7">
        <f t="shared" si="2"/>
        <v>41941.399999999994</v>
      </c>
      <c r="E134" s="21">
        <f>39120.6+1624.2</f>
        <v>40744.799999999996</v>
      </c>
      <c r="F134" s="18">
        <f>583.5+613.1</f>
        <v>1196.5999999999999</v>
      </c>
    </row>
    <row r="135" spans="1:6" s="16" customFormat="1" ht="69" customHeight="1">
      <c r="A135" s="2">
        <v>133</v>
      </c>
      <c r="B135" s="28" t="s">
        <v>167</v>
      </c>
      <c r="C135" s="20" t="s">
        <v>280</v>
      </c>
      <c r="D135" s="7">
        <f t="shared" si="2"/>
        <v>38321.799999999996</v>
      </c>
      <c r="E135" s="21">
        <v>37235.199999999997</v>
      </c>
      <c r="F135" s="18">
        <v>1086.5999999999999</v>
      </c>
    </row>
    <row r="136" spans="1:6" s="16" customFormat="1" ht="104.25" customHeight="1">
      <c r="A136" s="2">
        <v>134</v>
      </c>
      <c r="B136" s="28" t="s">
        <v>168</v>
      </c>
      <c r="C136" s="20" t="s">
        <v>134</v>
      </c>
      <c r="D136" s="7">
        <f t="shared" si="2"/>
        <v>68847</v>
      </c>
      <c r="E136" s="21">
        <f>66650.7</f>
        <v>66650.7</v>
      </c>
      <c r="F136" s="18">
        <f>141.1+2055.2</f>
        <v>2196.2999999999997</v>
      </c>
    </row>
    <row r="137" spans="1:6" s="16" customFormat="1" ht="104.25" customHeight="1">
      <c r="A137" s="2">
        <v>135</v>
      </c>
      <c r="B137" s="28" t="s">
        <v>169</v>
      </c>
      <c r="C137" s="20" t="s">
        <v>284</v>
      </c>
      <c r="D137" s="7">
        <f t="shared" si="2"/>
        <v>62756.799999999996</v>
      </c>
      <c r="E137" s="21">
        <f>60889.2</f>
        <v>60889.2</v>
      </c>
      <c r="F137" s="18">
        <f>1255.3+612.3</f>
        <v>1867.6</v>
      </c>
    </row>
    <row r="138" spans="1:6" s="16" customFormat="1" ht="104.25" customHeight="1">
      <c r="A138" s="2">
        <v>136</v>
      </c>
      <c r="B138" s="28" t="s">
        <v>170</v>
      </c>
      <c r="C138" s="20" t="s">
        <v>134</v>
      </c>
      <c r="D138" s="7">
        <f t="shared" si="2"/>
        <v>54583.7</v>
      </c>
      <c r="E138" s="21">
        <f>52823.2</f>
        <v>52823.199999999997</v>
      </c>
      <c r="F138" s="18">
        <f>151.7+1608.8</f>
        <v>1760.5</v>
      </c>
    </row>
    <row r="139" spans="1:6" s="16" customFormat="1" ht="69" customHeight="1">
      <c r="A139" s="2">
        <v>137</v>
      </c>
      <c r="B139" s="28" t="s">
        <v>171</v>
      </c>
      <c r="C139" s="20" t="s">
        <v>89</v>
      </c>
      <c r="D139" s="7">
        <f t="shared" si="2"/>
        <v>97820.2</v>
      </c>
      <c r="E139" s="21">
        <v>97663.3</v>
      </c>
      <c r="F139" s="18">
        <v>156.9</v>
      </c>
    </row>
    <row r="140" spans="1:6" s="16" customFormat="1" ht="69" customHeight="1">
      <c r="A140" s="2">
        <v>138</v>
      </c>
      <c r="B140" s="28" t="s">
        <v>172</v>
      </c>
      <c r="C140" s="20" t="s">
        <v>89</v>
      </c>
      <c r="D140" s="7">
        <f t="shared" si="2"/>
        <v>90870.3</v>
      </c>
      <c r="E140" s="21">
        <v>88997.5</v>
      </c>
      <c r="F140" s="18">
        <v>1872.8</v>
      </c>
    </row>
    <row r="141" spans="1:6" s="16" customFormat="1" ht="69" customHeight="1">
      <c r="A141" s="2">
        <v>139</v>
      </c>
      <c r="B141" s="28" t="s">
        <v>173</v>
      </c>
      <c r="C141" s="20" t="s">
        <v>89</v>
      </c>
      <c r="D141" s="7">
        <f t="shared" si="2"/>
        <v>78419.3</v>
      </c>
      <c r="E141" s="21">
        <v>77316.2</v>
      </c>
      <c r="F141" s="18">
        <v>1103.0999999999999</v>
      </c>
    </row>
    <row r="142" spans="1:6" s="16" customFormat="1" ht="104.25" customHeight="1">
      <c r="A142" s="2">
        <v>140</v>
      </c>
      <c r="B142" s="28" t="s">
        <v>174</v>
      </c>
      <c r="C142" s="20" t="s">
        <v>134</v>
      </c>
      <c r="D142" s="7">
        <f t="shared" si="2"/>
        <v>65465.299999999996</v>
      </c>
      <c r="E142" s="21">
        <f>64588.1</f>
        <v>64588.1</v>
      </c>
      <c r="F142" s="18">
        <f>418.5+458.7</f>
        <v>877.2</v>
      </c>
    </row>
    <row r="143" spans="1:6" s="16" customFormat="1" ht="104.25" customHeight="1">
      <c r="A143" s="2">
        <v>141</v>
      </c>
      <c r="B143" s="28" t="s">
        <v>175</v>
      </c>
      <c r="C143" s="20" t="s">
        <v>134</v>
      </c>
      <c r="D143" s="7">
        <f t="shared" si="2"/>
        <v>122581.6</v>
      </c>
      <c r="E143" s="21">
        <f>122160.6</f>
        <v>122160.6</v>
      </c>
      <c r="F143" s="18">
        <f>306.2+114.8</f>
        <v>421</v>
      </c>
    </row>
    <row r="144" spans="1:6" s="16" customFormat="1" ht="117.75" customHeight="1">
      <c r="A144" s="2">
        <v>142</v>
      </c>
      <c r="B144" s="28" t="s">
        <v>176</v>
      </c>
      <c r="C144" s="20" t="s">
        <v>166</v>
      </c>
      <c r="D144" s="7">
        <f t="shared" si="2"/>
        <v>84217.2</v>
      </c>
      <c r="E144" s="21">
        <f>76196+7796.3</f>
        <v>83992.3</v>
      </c>
      <c r="F144" s="18">
        <f>96.5+128.4</f>
        <v>224.9</v>
      </c>
    </row>
    <row r="145" spans="1:6" s="16" customFormat="1" ht="104.25" customHeight="1">
      <c r="A145" s="2">
        <v>143</v>
      </c>
      <c r="B145" s="28" t="s">
        <v>178</v>
      </c>
      <c r="C145" s="20" t="s">
        <v>134</v>
      </c>
      <c r="D145" s="7">
        <f t="shared" si="2"/>
        <v>64676.3</v>
      </c>
      <c r="E145" s="21">
        <f>63939.4</f>
        <v>63939.4</v>
      </c>
      <c r="F145" s="18">
        <f>571.3+165.6</f>
        <v>736.9</v>
      </c>
    </row>
    <row r="146" spans="1:6" s="16" customFormat="1" ht="104.25" customHeight="1">
      <c r="A146" s="2">
        <v>144</v>
      </c>
      <c r="B146" s="28" t="s">
        <v>179</v>
      </c>
      <c r="C146" s="20" t="s">
        <v>134</v>
      </c>
      <c r="D146" s="7">
        <f t="shared" si="2"/>
        <v>104386</v>
      </c>
      <c r="E146" s="21">
        <f>103914.4</f>
        <v>103914.4</v>
      </c>
      <c r="F146" s="18">
        <f>241.3+230.3</f>
        <v>471.6</v>
      </c>
    </row>
    <row r="147" spans="1:6" s="16" customFormat="1" ht="69" customHeight="1">
      <c r="A147" s="2">
        <v>145</v>
      </c>
      <c r="B147" s="28" t="s">
        <v>180</v>
      </c>
      <c r="C147" s="20" t="s">
        <v>138</v>
      </c>
      <c r="D147" s="7">
        <f t="shared" si="2"/>
        <v>86248.400000000009</v>
      </c>
      <c r="E147" s="21">
        <f>86184.1</f>
        <v>86184.1</v>
      </c>
      <c r="F147" s="18">
        <v>64.3</v>
      </c>
    </row>
    <row r="148" spans="1:6" s="16" customFormat="1" ht="39" customHeight="1">
      <c r="A148" s="2">
        <v>146</v>
      </c>
      <c r="B148" s="28" t="s">
        <v>181</v>
      </c>
      <c r="C148" s="20" t="s">
        <v>91</v>
      </c>
      <c r="D148" s="7">
        <f t="shared" si="2"/>
        <v>43527.1</v>
      </c>
      <c r="E148" s="21">
        <v>43527.1</v>
      </c>
      <c r="F148" s="18">
        <v>0</v>
      </c>
    </row>
    <row r="149" spans="1:6" s="16" customFormat="1" ht="87" customHeight="1">
      <c r="A149" s="2">
        <v>147</v>
      </c>
      <c r="B149" s="28" t="s">
        <v>182</v>
      </c>
      <c r="C149" s="20" t="s">
        <v>286</v>
      </c>
      <c r="D149" s="7">
        <f t="shared" si="2"/>
        <v>138564.20000000001</v>
      </c>
      <c r="E149" s="21">
        <f>131649.8+6496.2</f>
        <v>138146</v>
      </c>
      <c r="F149" s="18">
        <v>418.2</v>
      </c>
    </row>
    <row r="150" spans="1:6" s="16" customFormat="1" ht="104.25" customHeight="1">
      <c r="A150" s="2">
        <v>148</v>
      </c>
      <c r="B150" s="28" t="s">
        <v>184</v>
      </c>
      <c r="C150" s="20" t="s">
        <v>287</v>
      </c>
      <c r="D150" s="7">
        <f t="shared" si="2"/>
        <v>54076.7</v>
      </c>
      <c r="E150" s="21">
        <f>53037</f>
        <v>53037</v>
      </c>
      <c r="F150" s="18">
        <f>353.8+685.9</f>
        <v>1039.7</v>
      </c>
    </row>
    <row r="151" spans="1:6" s="16" customFormat="1" ht="69" customHeight="1">
      <c r="A151" s="2">
        <v>149</v>
      </c>
      <c r="B151" s="28" t="s">
        <v>185</v>
      </c>
      <c r="C151" s="20" t="s">
        <v>138</v>
      </c>
      <c r="D151" s="7">
        <f t="shared" si="2"/>
        <v>99532.1</v>
      </c>
      <c r="E151" s="21">
        <f>99279.8</f>
        <v>99279.8</v>
      </c>
      <c r="F151" s="18">
        <f>252.3</f>
        <v>252.3</v>
      </c>
    </row>
    <row r="152" spans="1:6" s="16" customFormat="1" ht="104.25" customHeight="1">
      <c r="A152" s="2">
        <v>150</v>
      </c>
      <c r="B152" s="28" t="s">
        <v>186</v>
      </c>
      <c r="C152" s="20" t="s">
        <v>288</v>
      </c>
      <c r="D152" s="7">
        <f t="shared" si="2"/>
        <v>42481.299999999996</v>
      </c>
      <c r="E152" s="21">
        <f>41692.7</f>
        <v>41692.699999999997</v>
      </c>
      <c r="F152" s="18">
        <f>60+728.6</f>
        <v>788.6</v>
      </c>
    </row>
    <row r="153" spans="1:6" s="16" customFormat="1" ht="104.25" customHeight="1">
      <c r="A153" s="2">
        <v>151</v>
      </c>
      <c r="B153" s="28" t="s">
        <v>187</v>
      </c>
      <c r="C153" s="20" t="s">
        <v>287</v>
      </c>
      <c r="D153" s="7">
        <f t="shared" si="2"/>
        <v>56693.7</v>
      </c>
      <c r="E153" s="21">
        <f>54607.6</f>
        <v>54607.6</v>
      </c>
      <c r="F153" s="18">
        <f>294.2+1791.9</f>
        <v>2086.1</v>
      </c>
    </row>
    <row r="154" spans="1:6" s="16" customFormat="1" ht="119.25" customHeight="1">
      <c r="A154" s="2">
        <v>152</v>
      </c>
      <c r="B154" s="28" t="s">
        <v>188</v>
      </c>
      <c r="C154" s="20" t="s">
        <v>289</v>
      </c>
      <c r="D154" s="7">
        <f t="shared" si="2"/>
        <v>77102.100000000006</v>
      </c>
      <c r="E154" s="21">
        <f>70414.6+3031.9</f>
        <v>73446.5</v>
      </c>
      <c r="F154" s="18">
        <f>2184.7+1470.9</f>
        <v>3655.6</v>
      </c>
    </row>
    <row r="155" spans="1:6" s="16" customFormat="1" ht="104.25" customHeight="1">
      <c r="A155" s="2">
        <v>153</v>
      </c>
      <c r="B155" s="28" t="s">
        <v>315</v>
      </c>
      <c r="C155" s="20" t="s">
        <v>190</v>
      </c>
      <c r="D155" s="7">
        <f t="shared" si="2"/>
        <v>143237</v>
      </c>
      <c r="E155" s="21">
        <f>138372.7</f>
        <v>138372.70000000001</v>
      </c>
      <c r="F155" s="18">
        <f>4225.4+638.9</f>
        <v>4864.2999999999993</v>
      </c>
    </row>
    <row r="156" spans="1:6" s="16" customFormat="1" ht="69" customHeight="1">
      <c r="A156" s="2">
        <v>154</v>
      </c>
      <c r="B156" s="28" t="s">
        <v>316</v>
      </c>
      <c r="C156" s="20" t="s">
        <v>280</v>
      </c>
      <c r="D156" s="7">
        <f t="shared" si="2"/>
        <v>58874.9</v>
      </c>
      <c r="E156" s="21">
        <v>57988.4</v>
      </c>
      <c r="F156" s="18">
        <v>886.5</v>
      </c>
    </row>
    <row r="157" spans="1:6" s="16" customFormat="1" ht="69" customHeight="1">
      <c r="A157" s="2">
        <v>155</v>
      </c>
      <c r="B157" s="28" t="s">
        <v>191</v>
      </c>
      <c r="C157" s="20" t="s">
        <v>138</v>
      </c>
      <c r="D157" s="7">
        <f t="shared" si="2"/>
        <v>54408.2</v>
      </c>
      <c r="E157" s="21">
        <f>54051.5</f>
        <v>54051.5</v>
      </c>
      <c r="F157" s="18">
        <v>356.7</v>
      </c>
    </row>
    <row r="158" spans="1:6" s="16" customFormat="1" ht="104.25" customHeight="1">
      <c r="A158" s="2">
        <v>156</v>
      </c>
      <c r="B158" s="28" t="s">
        <v>192</v>
      </c>
      <c r="C158" s="20" t="s">
        <v>284</v>
      </c>
      <c r="D158" s="7">
        <f t="shared" si="2"/>
        <v>71882.5</v>
      </c>
      <c r="E158" s="21">
        <f>71269</f>
        <v>71269</v>
      </c>
      <c r="F158" s="18">
        <f>34+579.5</f>
        <v>613.5</v>
      </c>
    </row>
    <row r="159" spans="1:6" s="16" customFormat="1" ht="117" customHeight="1">
      <c r="A159" s="2">
        <v>157</v>
      </c>
      <c r="B159" s="28" t="s">
        <v>193</v>
      </c>
      <c r="C159" s="20" t="s">
        <v>194</v>
      </c>
      <c r="D159" s="7">
        <f t="shared" si="2"/>
        <v>51959</v>
      </c>
      <c r="E159" s="21">
        <f>48983.4+1665.7</f>
        <v>50649.1</v>
      </c>
      <c r="F159" s="18">
        <f>990.5+319.4</f>
        <v>1309.9000000000001</v>
      </c>
    </row>
    <row r="160" spans="1:6" s="16" customFormat="1" ht="104.25" customHeight="1">
      <c r="A160" s="2">
        <v>158</v>
      </c>
      <c r="B160" s="28" t="s">
        <v>195</v>
      </c>
      <c r="C160" s="20" t="s">
        <v>134</v>
      </c>
      <c r="D160" s="7">
        <f t="shared" si="2"/>
        <v>61128.200000000004</v>
      </c>
      <c r="E160" s="21">
        <f>59693.4</f>
        <v>59693.4</v>
      </c>
      <c r="F160" s="18">
        <f>1292.7+142.1</f>
        <v>1434.8</v>
      </c>
    </row>
    <row r="161" spans="1:6" s="16" customFormat="1" ht="104.25" customHeight="1">
      <c r="A161" s="2">
        <v>159</v>
      </c>
      <c r="B161" s="28" t="s">
        <v>196</v>
      </c>
      <c r="C161" s="20" t="s">
        <v>197</v>
      </c>
      <c r="D161" s="7">
        <f t="shared" si="2"/>
        <v>107732.7</v>
      </c>
      <c r="E161" s="21">
        <f>98525.3+8995</f>
        <v>107520.3</v>
      </c>
      <c r="F161" s="18">
        <f>64.3+148.1</f>
        <v>212.39999999999998</v>
      </c>
    </row>
    <row r="162" spans="1:6" s="16" customFormat="1" ht="104.25" customHeight="1">
      <c r="A162" s="2">
        <v>160</v>
      </c>
      <c r="B162" s="28" t="s">
        <v>198</v>
      </c>
      <c r="C162" s="20" t="s">
        <v>284</v>
      </c>
      <c r="D162" s="7">
        <f t="shared" si="2"/>
        <v>115378.09999999999</v>
      </c>
      <c r="E162" s="21">
        <f>109796.2</f>
        <v>109796.2</v>
      </c>
      <c r="F162" s="18">
        <f>3994.8+1587.1</f>
        <v>5581.9</v>
      </c>
    </row>
    <row r="163" spans="1:6" s="16" customFormat="1" ht="104.25" customHeight="1">
      <c r="A163" s="2">
        <v>161</v>
      </c>
      <c r="B163" s="28" t="s">
        <v>199</v>
      </c>
      <c r="C163" s="20" t="s">
        <v>284</v>
      </c>
      <c r="D163" s="7">
        <f t="shared" si="2"/>
        <v>72236.400000000009</v>
      </c>
      <c r="E163" s="21">
        <f>71697.1</f>
        <v>71697.100000000006</v>
      </c>
      <c r="F163" s="18">
        <f>32.2+507.1</f>
        <v>539.30000000000007</v>
      </c>
    </row>
    <row r="164" spans="1:6" s="16" customFormat="1" ht="104.25" customHeight="1">
      <c r="A164" s="2">
        <v>162</v>
      </c>
      <c r="B164" s="28" t="s">
        <v>200</v>
      </c>
      <c r="C164" s="20" t="s">
        <v>284</v>
      </c>
      <c r="D164" s="7">
        <f t="shared" si="2"/>
        <v>49873.5</v>
      </c>
      <c r="E164" s="21">
        <f>49477.2</f>
        <v>49477.2</v>
      </c>
      <c r="F164" s="18">
        <f>51.3+345</f>
        <v>396.3</v>
      </c>
    </row>
    <row r="165" spans="1:6" s="16" customFormat="1" ht="69.75" customHeight="1">
      <c r="A165" s="2">
        <v>163</v>
      </c>
      <c r="B165" s="28" t="s">
        <v>201</v>
      </c>
      <c r="C165" s="20" t="s">
        <v>280</v>
      </c>
      <c r="D165" s="7">
        <f t="shared" si="2"/>
        <v>53325</v>
      </c>
      <c r="E165" s="21">
        <v>53003.199999999997</v>
      </c>
      <c r="F165" s="18">
        <v>321.8</v>
      </c>
    </row>
    <row r="166" spans="1:6" s="16" customFormat="1" ht="69.75" customHeight="1">
      <c r="A166" s="2">
        <v>164</v>
      </c>
      <c r="B166" s="28" t="s">
        <v>202</v>
      </c>
      <c r="C166" s="20" t="s">
        <v>89</v>
      </c>
      <c r="D166" s="7">
        <f t="shared" si="2"/>
        <v>149285.4</v>
      </c>
      <c r="E166" s="21">
        <v>148329.1</v>
      </c>
      <c r="F166" s="18">
        <v>956.3</v>
      </c>
    </row>
    <row r="167" spans="1:6" s="16" customFormat="1" ht="39" customHeight="1">
      <c r="A167" s="2">
        <v>165</v>
      </c>
      <c r="B167" s="28" t="s">
        <v>203</v>
      </c>
      <c r="C167" s="20" t="s">
        <v>91</v>
      </c>
      <c r="D167" s="7">
        <f t="shared" si="2"/>
        <v>92589</v>
      </c>
      <c r="E167" s="21">
        <v>91618.3</v>
      </c>
      <c r="F167" s="18">
        <v>970.7</v>
      </c>
    </row>
    <row r="168" spans="1:6" s="16" customFormat="1" ht="104.25" customHeight="1">
      <c r="A168" s="2">
        <v>166</v>
      </c>
      <c r="B168" s="28" t="s">
        <v>204</v>
      </c>
      <c r="C168" s="20" t="s">
        <v>134</v>
      </c>
      <c r="D168" s="7">
        <f t="shared" si="2"/>
        <v>87440.6</v>
      </c>
      <c r="E168" s="21">
        <f>86256.6</f>
        <v>86256.6</v>
      </c>
      <c r="F168" s="18">
        <f>45.8+1138.2</f>
        <v>1184</v>
      </c>
    </row>
    <row r="169" spans="1:6" s="16" customFormat="1" ht="104.25" customHeight="1">
      <c r="A169" s="2">
        <v>167</v>
      </c>
      <c r="B169" s="28" t="s">
        <v>205</v>
      </c>
      <c r="C169" s="20" t="s">
        <v>134</v>
      </c>
      <c r="D169" s="7">
        <f t="shared" si="2"/>
        <v>74840.800000000003</v>
      </c>
      <c r="E169" s="21">
        <f>74331.1</f>
        <v>74331.100000000006</v>
      </c>
      <c r="F169" s="18">
        <f>113.8+395.9</f>
        <v>509.7</v>
      </c>
    </row>
    <row r="170" spans="1:6" s="16" customFormat="1" ht="104.25" customHeight="1">
      <c r="A170" s="2">
        <v>168</v>
      </c>
      <c r="B170" s="28" t="s">
        <v>206</v>
      </c>
      <c r="C170" s="20" t="s">
        <v>134</v>
      </c>
      <c r="D170" s="7">
        <f t="shared" si="2"/>
        <v>116616.90000000001</v>
      </c>
      <c r="E170" s="21">
        <f>111520.1</f>
        <v>111520.1</v>
      </c>
      <c r="F170" s="18">
        <f>2238.4+2858.4</f>
        <v>5096.8</v>
      </c>
    </row>
    <row r="171" spans="1:6" s="16" customFormat="1" ht="104.25" customHeight="1">
      <c r="A171" s="2">
        <v>169</v>
      </c>
      <c r="B171" s="28" t="s">
        <v>207</v>
      </c>
      <c r="C171" s="20" t="s">
        <v>290</v>
      </c>
      <c r="D171" s="7">
        <f t="shared" si="2"/>
        <v>167018.69999999998</v>
      </c>
      <c r="E171" s="21">
        <f>158358.8</f>
        <v>158358.79999999999</v>
      </c>
      <c r="F171" s="18">
        <f>1914.2+6745.7</f>
        <v>8659.9</v>
      </c>
    </row>
    <row r="172" spans="1:6" s="16" customFormat="1" ht="69" customHeight="1">
      <c r="A172" s="2">
        <v>170</v>
      </c>
      <c r="B172" s="28" t="s">
        <v>208</v>
      </c>
      <c r="C172" s="20" t="s">
        <v>291</v>
      </c>
      <c r="D172" s="7">
        <f t="shared" si="2"/>
        <v>123777.40000000001</v>
      </c>
      <c r="E172" s="21">
        <v>120444.1</v>
      </c>
      <c r="F172" s="18">
        <v>3333.3</v>
      </c>
    </row>
    <row r="173" spans="1:6" s="16" customFormat="1" ht="39" customHeight="1">
      <c r="A173" s="2">
        <v>171</v>
      </c>
      <c r="B173" s="28" t="s">
        <v>209</v>
      </c>
      <c r="C173" s="20" t="s">
        <v>210</v>
      </c>
      <c r="D173" s="7">
        <f t="shared" si="2"/>
        <v>24345.5</v>
      </c>
      <c r="E173" s="21">
        <v>24345.5</v>
      </c>
      <c r="F173" s="18">
        <v>0</v>
      </c>
    </row>
    <row r="174" spans="1:6" s="16" customFormat="1" ht="90" customHeight="1">
      <c r="A174" s="2">
        <v>172</v>
      </c>
      <c r="B174" s="23" t="s">
        <v>211</v>
      </c>
      <c r="C174" s="20" t="s">
        <v>292</v>
      </c>
      <c r="D174" s="7">
        <f t="shared" si="2"/>
        <v>109089.2</v>
      </c>
      <c r="E174" s="21">
        <f>33014.8+76014</f>
        <v>109028.8</v>
      </c>
      <c r="F174" s="18">
        <v>60.4</v>
      </c>
    </row>
    <row r="175" spans="1:6" s="16" customFormat="1" ht="57" customHeight="1">
      <c r="A175" s="2">
        <v>173</v>
      </c>
      <c r="B175" s="23" t="s">
        <v>213</v>
      </c>
      <c r="C175" s="20" t="s">
        <v>214</v>
      </c>
      <c r="D175" s="7">
        <f t="shared" si="2"/>
        <v>221750.8</v>
      </c>
      <c r="E175" s="21">
        <f>98013.9+66127.2+57609.7</f>
        <v>221750.8</v>
      </c>
      <c r="F175" s="18">
        <v>0</v>
      </c>
    </row>
    <row r="176" spans="1:6" s="16" customFormat="1" ht="57" customHeight="1">
      <c r="A176" s="2">
        <v>174</v>
      </c>
      <c r="B176" s="23" t="s">
        <v>215</v>
      </c>
      <c r="C176" s="20" t="s">
        <v>216</v>
      </c>
      <c r="D176" s="7">
        <f t="shared" si="2"/>
        <v>145354.5</v>
      </c>
      <c r="E176" s="21">
        <f>69479.5+75875</f>
        <v>145354.5</v>
      </c>
      <c r="F176" s="18">
        <v>0</v>
      </c>
    </row>
    <row r="177" spans="1:6" s="16" customFormat="1" ht="39" customHeight="1">
      <c r="A177" s="2">
        <v>175</v>
      </c>
      <c r="B177" s="23" t="s">
        <v>217</v>
      </c>
      <c r="C177" s="20" t="s">
        <v>218</v>
      </c>
      <c r="D177" s="7">
        <f t="shared" si="2"/>
        <v>170441.5</v>
      </c>
      <c r="E177" s="21">
        <f>170441.5</f>
        <v>170441.5</v>
      </c>
      <c r="F177" s="18">
        <v>0</v>
      </c>
    </row>
    <row r="178" spans="1:6" s="16" customFormat="1" ht="57" customHeight="1">
      <c r="A178" s="2">
        <v>176</v>
      </c>
      <c r="B178" s="23" t="s">
        <v>219</v>
      </c>
      <c r="C178" s="20" t="s">
        <v>216</v>
      </c>
      <c r="D178" s="7">
        <f t="shared" si="2"/>
        <v>154229.29999999999</v>
      </c>
      <c r="E178" s="21">
        <f>55059.9+99169.4</f>
        <v>154229.29999999999</v>
      </c>
      <c r="F178" s="18">
        <v>0</v>
      </c>
    </row>
    <row r="179" spans="1:6" s="16" customFormat="1" ht="85.5" customHeight="1">
      <c r="A179" s="2">
        <v>177</v>
      </c>
      <c r="B179" s="23" t="s">
        <v>221</v>
      </c>
      <c r="C179" s="20" t="s">
        <v>293</v>
      </c>
      <c r="D179" s="7">
        <f t="shared" si="2"/>
        <v>162637.4</v>
      </c>
      <c r="E179" s="21">
        <f>69143.9+68183+24982.7</f>
        <v>162309.6</v>
      </c>
      <c r="F179" s="18">
        <v>327.8</v>
      </c>
    </row>
    <row r="180" spans="1:6" s="16" customFormat="1" ht="57" customHeight="1">
      <c r="A180" s="2">
        <v>178</v>
      </c>
      <c r="B180" s="23" t="s">
        <v>223</v>
      </c>
      <c r="C180" s="20" t="s">
        <v>214</v>
      </c>
      <c r="D180" s="7">
        <f t="shared" si="2"/>
        <v>158507.70000000001</v>
      </c>
      <c r="E180" s="21">
        <f>46097.1+62610.5+49800.1</f>
        <v>158507.70000000001</v>
      </c>
      <c r="F180" s="18">
        <v>0</v>
      </c>
    </row>
    <row r="181" spans="1:6" s="16" customFormat="1" ht="120" customHeight="1">
      <c r="A181" s="2">
        <v>179</v>
      </c>
      <c r="B181" s="23" t="s">
        <v>224</v>
      </c>
      <c r="C181" s="20" t="s">
        <v>225</v>
      </c>
      <c r="D181" s="7">
        <f t="shared" si="2"/>
        <v>564248.70000000007</v>
      </c>
      <c r="E181" s="21">
        <f>236895.7+288371.9</f>
        <v>525267.60000000009</v>
      </c>
      <c r="F181" s="18">
        <f>2581.1+36400</f>
        <v>38981.1</v>
      </c>
    </row>
    <row r="182" spans="1:6" s="16" customFormat="1" ht="57" customHeight="1">
      <c r="A182" s="2">
        <v>180</v>
      </c>
      <c r="B182" s="23" t="s">
        <v>226</v>
      </c>
      <c r="C182" s="20" t="s">
        <v>227</v>
      </c>
      <c r="D182" s="7">
        <f t="shared" si="2"/>
        <v>289248.5</v>
      </c>
      <c r="E182" s="20">
        <f>98308.2+148319.6+39151.8+3468.9</f>
        <v>289248.5</v>
      </c>
      <c r="F182" s="18">
        <v>0</v>
      </c>
    </row>
    <row r="183" spans="1:6" s="16" customFormat="1" ht="57" customHeight="1">
      <c r="A183" s="2">
        <v>181</v>
      </c>
      <c r="B183" s="23" t="s">
        <v>228</v>
      </c>
      <c r="C183" s="20" t="s">
        <v>229</v>
      </c>
      <c r="D183" s="7">
        <f t="shared" si="2"/>
        <v>161530.70000000001</v>
      </c>
      <c r="E183" s="20">
        <f>42482.6+119048.1</f>
        <v>161530.70000000001</v>
      </c>
      <c r="F183" s="18">
        <v>0</v>
      </c>
    </row>
    <row r="184" spans="1:6" s="16" customFormat="1" ht="57" customHeight="1">
      <c r="A184" s="2">
        <v>182</v>
      </c>
      <c r="B184" s="23" t="s">
        <v>230</v>
      </c>
      <c r="C184" s="20" t="s">
        <v>229</v>
      </c>
      <c r="D184" s="7">
        <f t="shared" si="2"/>
        <v>498011.30000000005</v>
      </c>
      <c r="E184" s="20">
        <f>280878.4+217132.9</f>
        <v>498011.30000000005</v>
      </c>
      <c r="F184" s="18">
        <v>0</v>
      </c>
    </row>
    <row r="185" spans="1:6" s="16" customFormat="1" ht="39" customHeight="1">
      <c r="A185" s="2">
        <v>183</v>
      </c>
      <c r="B185" s="23" t="s">
        <v>231</v>
      </c>
      <c r="C185" s="20" t="s">
        <v>294</v>
      </c>
      <c r="D185" s="7">
        <f t="shared" si="2"/>
        <v>213462.8</v>
      </c>
      <c r="E185" s="20">
        <f>213128.8</f>
        <v>213128.8</v>
      </c>
      <c r="F185" s="18">
        <v>334</v>
      </c>
    </row>
    <row r="186" spans="1:6" s="16" customFormat="1" ht="57" customHeight="1">
      <c r="A186" s="2">
        <v>184</v>
      </c>
      <c r="B186" s="23" t="s">
        <v>233</v>
      </c>
      <c r="C186" s="20" t="s">
        <v>229</v>
      </c>
      <c r="D186" s="7">
        <f t="shared" si="2"/>
        <v>159295.79999999999</v>
      </c>
      <c r="E186" s="20">
        <f>96478.8+59383.6</f>
        <v>155862.39999999999</v>
      </c>
      <c r="F186" s="18">
        <v>3433.4</v>
      </c>
    </row>
    <row r="187" spans="1:6" s="16" customFormat="1" ht="90.75" customHeight="1">
      <c r="A187" s="2">
        <v>185</v>
      </c>
      <c r="B187" s="23" t="s">
        <v>235</v>
      </c>
      <c r="C187" s="20" t="s">
        <v>295</v>
      </c>
      <c r="D187" s="7">
        <f t="shared" si="2"/>
        <v>423238.7</v>
      </c>
      <c r="E187" s="20">
        <f>146440.6+191303.9+85494.2</f>
        <v>423238.7</v>
      </c>
      <c r="F187" s="18">
        <v>0</v>
      </c>
    </row>
    <row r="188" spans="1:6" s="16" customFormat="1" ht="57" customHeight="1">
      <c r="A188" s="2">
        <v>186</v>
      </c>
      <c r="B188" s="23" t="s">
        <v>296</v>
      </c>
      <c r="C188" s="20" t="s">
        <v>297</v>
      </c>
      <c r="D188" s="7">
        <f t="shared" si="2"/>
        <v>111606.59999999999</v>
      </c>
      <c r="E188" s="21">
        <f>10812.7+100596.4</f>
        <v>111409.09999999999</v>
      </c>
      <c r="F188" s="18">
        <v>197.5</v>
      </c>
    </row>
    <row r="189" spans="1:6" s="16" customFormat="1" ht="57" customHeight="1">
      <c r="A189" s="2">
        <v>187</v>
      </c>
      <c r="B189" s="23" t="s">
        <v>298</v>
      </c>
      <c r="C189" s="20" t="s">
        <v>229</v>
      </c>
      <c r="D189" s="7">
        <f t="shared" si="2"/>
        <v>459270</v>
      </c>
      <c r="E189" s="21">
        <f>217234.7+242035.3</f>
        <v>459270</v>
      </c>
      <c r="F189" s="18">
        <v>0</v>
      </c>
    </row>
    <row r="190" spans="1:6" s="16" customFormat="1" ht="57" customHeight="1">
      <c r="A190" s="2">
        <v>188</v>
      </c>
      <c r="B190" s="23" t="s">
        <v>299</v>
      </c>
      <c r="C190" s="20" t="s">
        <v>229</v>
      </c>
      <c r="D190" s="7">
        <f t="shared" si="2"/>
        <v>229939.20000000001</v>
      </c>
      <c r="E190" s="21">
        <f>138883.2+91056</f>
        <v>229939.20000000001</v>
      </c>
      <c r="F190" s="18">
        <v>0</v>
      </c>
    </row>
    <row r="191" spans="1:6" s="16" customFormat="1" ht="57" customHeight="1">
      <c r="A191" s="2">
        <v>189</v>
      </c>
      <c r="B191" s="23" t="s">
        <v>237</v>
      </c>
      <c r="C191" s="20" t="s">
        <v>238</v>
      </c>
      <c r="D191" s="7">
        <f t="shared" si="2"/>
        <v>731223.8</v>
      </c>
      <c r="E191" s="17">
        <v>0</v>
      </c>
      <c r="F191" s="18">
        <v>731223.8</v>
      </c>
    </row>
    <row r="192" spans="1:6" s="16" customFormat="1" ht="119.25" customHeight="1">
      <c r="A192" s="2">
        <v>190</v>
      </c>
      <c r="B192" s="23" t="s">
        <v>239</v>
      </c>
      <c r="C192" s="24" t="s">
        <v>240</v>
      </c>
      <c r="D192" s="7">
        <f t="shared" si="2"/>
        <v>337003.6</v>
      </c>
      <c r="E192" s="17">
        <v>0</v>
      </c>
      <c r="F192" s="18">
        <v>337003.6</v>
      </c>
    </row>
    <row r="193" spans="1:6" s="16" customFormat="1" ht="57" customHeight="1">
      <c r="A193" s="2">
        <v>191</v>
      </c>
      <c r="B193" s="23" t="s">
        <v>241</v>
      </c>
      <c r="C193" s="20" t="s">
        <v>242</v>
      </c>
      <c r="D193" s="7">
        <f t="shared" ref="D193:D226" si="3">E193+F193</f>
        <v>94875</v>
      </c>
      <c r="E193" s="17">
        <v>0</v>
      </c>
      <c r="F193" s="18">
        <f>94875</f>
        <v>94875</v>
      </c>
    </row>
    <row r="194" spans="1:6" s="16" customFormat="1" ht="57" customHeight="1">
      <c r="A194" s="2">
        <v>192</v>
      </c>
      <c r="B194" s="23" t="s">
        <v>243</v>
      </c>
      <c r="C194" s="20" t="s">
        <v>242</v>
      </c>
      <c r="D194" s="7">
        <f t="shared" si="3"/>
        <v>135863.29999999999</v>
      </c>
      <c r="E194" s="17">
        <v>0</v>
      </c>
      <c r="F194" s="18">
        <f>135863.3</f>
        <v>135863.29999999999</v>
      </c>
    </row>
    <row r="195" spans="1:6" s="16" customFormat="1" ht="57" customHeight="1">
      <c r="A195" s="2">
        <v>193</v>
      </c>
      <c r="B195" s="23" t="s">
        <v>244</v>
      </c>
      <c r="C195" s="20" t="s">
        <v>242</v>
      </c>
      <c r="D195" s="7">
        <f t="shared" si="3"/>
        <v>104006.1</v>
      </c>
      <c r="E195" s="17">
        <v>0</v>
      </c>
      <c r="F195" s="18">
        <f>104006.1</f>
        <v>104006.1</v>
      </c>
    </row>
    <row r="196" spans="1:6" s="16" customFormat="1" ht="57" customHeight="1">
      <c r="A196" s="2">
        <v>194</v>
      </c>
      <c r="B196" s="23" t="s">
        <v>245</v>
      </c>
      <c r="C196" s="20" t="s">
        <v>242</v>
      </c>
      <c r="D196" s="7">
        <f t="shared" si="3"/>
        <v>104006.1</v>
      </c>
      <c r="E196" s="17">
        <v>0</v>
      </c>
      <c r="F196" s="18">
        <f>104006.1</f>
        <v>104006.1</v>
      </c>
    </row>
    <row r="197" spans="1:6" s="16" customFormat="1" ht="57" customHeight="1">
      <c r="A197" s="2">
        <v>195</v>
      </c>
      <c r="B197" s="23" t="s">
        <v>246</v>
      </c>
      <c r="C197" s="20" t="s">
        <v>242</v>
      </c>
      <c r="D197" s="7">
        <f t="shared" si="3"/>
        <v>104006.1</v>
      </c>
      <c r="E197" s="17">
        <v>0</v>
      </c>
      <c r="F197" s="18">
        <f>104006.1</f>
        <v>104006.1</v>
      </c>
    </row>
    <row r="198" spans="1:6" s="16" customFormat="1" ht="57" customHeight="1">
      <c r="A198" s="2">
        <v>196</v>
      </c>
      <c r="B198" s="23" t="s">
        <v>247</v>
      </c>
      <c r="C198" s="20" t="s">
        <v>242</v>
      </c>
      <c r="D198" s="7">
        <f t="shared" si="3"/>
        <v>76131</v>
      </c>
      <c r="E198" s="17">
        <v>0</v>
      </c>
      <c r="F198" s="18">
        <f>76131</f>
        <v>76131</v>
      </c>
    </row>
    <row r="199" spans="1:6" s="16" customFormat="1" ht="57" customHeight="1">
      <c r="A199" s="2">
        <v>197</v>
      </c>
      <c r="B199" s="23" t="s">
        <v>248</v>
      </c>
      <c r="C199" s="20" t="s">
        <v>242</v>
      </c>
      <c r="D199" s="7">
        <f t="shared" si="3"/>
        <v>76131</v>
      </c>
      <c r="E199" s="17">
        <v>0</v>
      </c>
      <c r="F199" s="18">
        <f t="shared" ref="F199:F203" si="4">76131</f>
        <v>76131</v>
      </c>
    </row>
    <row r="200" spans="1:6" s="16" customFormat="1" ht="57" customHeight="1">
      <c r="A200" s="2">
        <v>198</v>
      </c>
      <c r="B200" s="23" t="s">
        <v>249</v>
      </c>
      <c r="C200" s="20" t="s">
        <v>242</v>
      </c>
      <c r="D200" s="7">
        <f t="shared" si="3"/>
        <v>76131</v>
      </c>
      <c r="E200" s="17">
        <v>0</v>
      </c>
      <c r="F200" s="18">
        <f t="shared" si="4"/>
        <v>76131</v>
      </c>
    </row>
    <row r="201" spans="1:6" s="16" customFormat="1" ht="57" customHeight="1">
      <c r="A201" s="2">
        <v>199</v>
      </c>
      <c r="B201" s="23" t="s">
        <v>250</v>
      </c>
      <c r="C201" s="20" t="s">
        <v>242</v>
      </c>
      <c r="D201" s="7">
        <f t="shared" si="3"/>
        <v>76131</v>
      </c>
      <c r="E201" s="17">
        <v>0</v>
      </c>
      <c r="F201" s="18">
        <f t="shared" si="4"/>
        <v>76131</v>
      </c>
    </row>
    <row r="202" spans="1:6" s="16" customFormat="1" ht="57" customHeight="1">
      <c r="A202" s="2">
        <v>200</v>
      </c>
      <c r="B202" s="23" t="s">
        <v>251</v>
      </c>
      <c r="C202" s="20" t="s">
        <v>242</v>
      </c>
      <c r="D202" s="7">
        <f t="shared" si="3"/>
        <v>104006.1</v>
      </c>
      <c r="E202" s="17">
        <v>0</v>
      </c>
      <c r="F202" s="18">
        <f>104006.1</f>
        <v>104006.1</v>
      </c>
    </row>
    <row r="203" spans="1:6" s="16" customFormat="1" ht="57" customHeight="1">
      <c r="A203" s="2">
        <v>201</v>
      </c>
      <c r="B203" s="23" t="s">
        <v>252</v>
      </c>
      <c r="C203" s="20" t="s">
        <v>242</v>
      </c>
      <c r="D203" s="7">
        <f t="shared" si="3"/>
        <v>76131</v>
      </c>
      <c r="E203" s="17">
        <v>0</v>
      </c>
      <c r="F203" s="18">
        <f t="shared" si="4"/>
        <v>76131</v>
      </c>
    </row>
    <row r="204" spans="1:6" s="16" customFormat="1" ht="57" customHeight="1">
      <c r="A204" s="2">
        <v>202</v>
      </c>
      <c r="B204" s="23" t="s">
        <v>253</v>
      </c>
      <c r="C204" s="20" t="s">
        <v>242</v>
      </c>
      <c r="D204" s="7">
        <f t="shared" si="3"/>
        <v>104006.1</v>
      </c>
      <c r="E204" s="17">
        <v>0</v>
      </c>
      <c r="F204" s="18">
        <f>104006.1</f>
        <v>104006.1</v>
      </c>
    </row>
    <row r="205" spans="1:6" s="16" customFormat="1" ht="57" customHeight="1">
      <c r="A205" s="2">
        <v>203</v>
      </c>
      <c r="B205" s="23" t="s">
        <v>254</v>
      </c>
      <c r="C205" s="20" t="s">
        <v>242</v>
      </c>
      <c r="D205" s="7">
        <f t="shared" si="3"/>
        <v>104006.1</v>
      </c>
      <c r="E205" s="17">
        <v>0</v>
      </c>
      <c r="F205" s="18">
        <f>104006.1</f>
        <v>104006.1</v>
      </c>
    </row>
    <row r="206" spans="1:6" s="16" customFormat="1" ht="57" customHeight="1">
      <c r="A206" s="2">
        <v>204</v>
      </c>
      <c r="B206" s="23" t="s">
        <v>255</v>
      </c>
      <c r="C206" s="20" t="s">
        <v>242</v>
      </c>
      <c r="D206" s="7">
        <f t="shared" si="3"/>
        <v>104006.1</v>
      </c>
      <c r="E206" s="17">
        <v>0</v>
      </c>
      <c r="F206" s="18">
        <f t="shared" ref="F206:F207" si="5">104006.1</f>
        <v>104006.1</v>
      </c>
    </row>
    <row r="207" spans="1:6" s="16" customFormat="1" ht="57" customHeight="1">
      <c r="A207" s="2">
        <v>205</v>
      </c>
      <c r="B207" s="23" t="s">
        <v>256</v>
      </c>
      <c r="C207" s="20" t="s">
        <v>242</v>
      </c>
      <c r="D207" s="7">
        <f t="shared" si="3"/>
        <v>104006.1</v>
      </c>
      <c r="E207" s="17">
        <v>0</v>
      </c>
      <c r="F207" s="18">
        <f t="shared" si="5"/>
        <v>104006.1</v>
      </c>
    </row>
    <row r="208" spans="1:6" s="16" customFormat="1" ht="57" customHeight="1">
      <c r="A208" s="2">
        <v>206</v>
      </c>
      <c r="B208" s="23" t="s">
        <v>257</v>
      </c>
      <c r="C208" s="20" t="s">
        <v>242</v>
      </c>
      <c r="D208" s="7">
        <f t="shared" si="3"/>
        <v>104006.1</v>
      </c>
      <c r="E208" s="17">
        <v>0</v>
      </c>
      <c r="F208" s="18">
        <f>104006.1</f>
        <v>104006.1</v>
      </c>
    </row>
    <row r="209" spans="1:6" s="16" customFormat="1" ht="57" customHeight="1">
      <c r="A209" s="2">
        <v>207</v>
      </c>
      <c r="B209" s="23" t="s">
        <v>258</v>
      </c>
      <c r="C209" s="20" t="s">
        <v>242</v>
      </c>
      <c r="D209" s="7">
        <f t="shared" si="3"/>
        <v>104006.1</v>
      </c>
      <c r="E209" s="17">
        <v>0</v>
      </c>
      <c r="F209" s="18">
        <f t="shared" ref="F209:F210" si="6">104006.1</f>
        <v>104006.1</v>
      </c>
    </row>
    <row r="210" spans="1:6" s="16" customFormat="1" ht="57" customHeight="1">
      <c r="A210" s="2">
        <v>208</v>
      </c>
      <c r="B210" s="23" t="s">
        <v>259</v>
      </c>
      <c r="C210" s="20" t="s">
        <v>242</v>
      </c>
      <c r="D210" s="7">
        <f t="shared" si="3"/>
        <v>104006.1</v>
      </c>
      <c r="E210" s="17">
        <v>0</v>
      </c>
      <c r="F210" s="18">
        <f t="shared" si="6"/>
        <v>104006.1</v>
      </c>
    </row>
    <row r="211" spans="1:6" s="16" customFormat="1" ht="57" customHeight="1">
      <c r="A211" s="2">
        <v>209</v>
      </c>
      <c r="B211" s="23" t="s">
        <v>300</v>
      </c>
      <c r="C211" s="20" t="s">
        <v>242</v>
      </c>
      <c r="D211" s="7">
        <f t="shared" si="3"/>
        <v>31625</v>
      </c>
      <c r="E211" s="17">
        <v>0</v>
      </c>
      <c r="F211" s="18">
        <v>31625</v>
      </c>
    </row>
    <row r="212" spans="1:6" s="16" customFormat="1" ht="57" customHeight="1">
      <c r="A212" s="2">
        <v>210</v>
      </c>
      <c r="B212" s="23" t="s">
        <v>301</v>
      </c>
      <c r="C212" s="20" t="s">
        <v>242</v>
      </c>
      <c r="D212" s="7">
        <f t="shared" si="3"/>
        <v>17936.8</v>
      </c>
      <c r="E212" s="17">
        <v>0</v>
      </c>
      <c r="F212" s="18">
        <v>17936.8</v>
      </c>
    </row>
    <row r="213" spans="1:6" s="16" customFormat="1" ht="57" customHeight="1">
      <c r="A213" s="2">
        <v>211</v>
      </c>
      <c r="B213" s="32" t="s">
        <v>302</v>
      </c>
      <c r="C213" s="20" t="s">
        <v>303</v>
      </c>
      <c r="D213" s="7">
        <f t="shared" si="3"/>
        <v>7726.4</v>
      </c>
      <c r="E213" s="17">
        <v>0</v>
      </c>
      <c r="F213" s="18">
        <v>7726.4</v>
      </c>
    </row>
    <row r="214" spans="1:6" s="16" customFormat="1" ht="57" customHeight="1">
      <c r="A214" s="2">
        <v>212</v>
      </c>
      <c r="B214" s="32" t="s">
        <v>304</v>
      </c>
      <c r="C214" s="20" t="s">
        <v>303</v>
      </c>
      <c r="D214" s="7">
        <f t="shared" si="3"/>
        <v>7545.9</v>
      </c>
      <c r="E214" s="17">
        <v>0</v>
      </c>
      <c r="F214" s="18">
        <v>7545.9</v>
      </c>
    </row>
    <row r="215" spans="1:6" s="16" customFormat="1" ht="57" customHeight="1">
      <c r="A215" s="2">
        <v>213</v>
      </c>
      <c r="B215" s="32" t="s">
        <v>305</v>
      </c>
      <c r="C215" s="20" t="s">
        <v>303</v>
      </c>
      <c r="D215" s="7">
        <f t="shared" si="3"/>
        <v>7700</v>
      </c>
      <c r="E215" s="17">
        <v>0</v>
      </c>
      <c r="F215" s="18">
        <v>7700</v>
      </c>
    </row>
    <row r="216" spans="1:6" s="16" customFormat="1" ht="57" customHeight="1">
      <c r="A216" s="2">
        <v>214</v>
      </c>
      <c r="B216" s="32" t="s">
        <v>306</v>
      </c>
      <c r="C216" s="20" t="s">
        <v>303</v>
      </c>
      <c r="D216" s="7">
        <f t="shared" si="3"/>
        <v>7700</v>
      </c>
      <c r="E216" s="17">
        <v>0</v>
      </c>
      <c r="F216" s="18">
        <v>7700</v>
      </c>
    </row>
    <row r="217" spans="1:6" s="16" customFormat="1" ht="57" customHeight="1">
      <c r="A217" s="2">
        <v>215</v>
      </c>
      <c r="B217" s="32" t="s">
        <v>307</v>
      </c>
      <c r="C217" s="20" t="s">
        <v>303</v>
      </c>
      <c r="D217" s="7">
        <f t="shared" si="3"/>
        <v>7613</v>
      </c>
      <c r="E217" s="21">
        <v>0</v>
      </c>
      <c r="F217" s="18">
        <v>7613</v>
      </c>
    </row>
    <row r="218" spans="1:6" s="16" customFormat="1" ht="57" customHeight="1">
      <c r="A218" s="2">
        <v>216</v>
      </c>
      <c r="B218" s="28" t="s">
        <v>260</v>
      </c>
      <c r="C218" s="20" t="s">
        <v>261</v>
      </c>
      <c r="D218" s="7">
        <f t="shared" si="3"/>
        <v>29258</v>
      </c>
      <c r="E218" s="21">
        <v>0</v>
      </c>
      <c r="F218" s="18">
        <v>29258</v>
      </c>
    </row>
    <row r="219" spans="1:6" s="16" customFormat="1" ht="39" customHeight="1">
      <c r="A219" s="2">
        <v>217</v>
      </c>
      <c r="B219" s="28" t="s">
        <v>262</v>
      </c>
      <c r="C219" s="13" t="s">
        <v>263</v>
      </c>
      <c r="D219" s="7">
        <f t="shared" si="3"/>
        <v>43113.5</v>
      </c>
      <c r="E219" s="21">
        <v>0</v>
      </c>
      <c r="F219" s="18">
        <v>43113.5</v>
      </c>
    </row>
    <row r="220" spans="1:6" s="16" customFormat="1" ht="87" customHeight="1">
      <c r="A220" s="2">
        <v>218</v>
      </c>
      <c r="B220" s="28" t="s">
        <v>308</v>
      </c>
      <c r="C220" s="20" t="s">
        <v>264</v>
      </c>
      <c r="D220" s="7">
        <f t="shared" si="3"/>
        <v>22320</v>
      </c>
      <c r="E220" s="21">
        <v>0</v>
      </c>
      <c r="F220" s="18">
        <v>22320</v>
      </c>
    </row>
    <row r="221" spans="1:6" s="16" customFormat="1" ht="39" customHeight="1">
      <c r="A221" s="2">
        <v>219</v>
      </c>
      <c r="B221" s="28" t="s">
        <v>308</v>
      </c>
      <c r="C221" s="20" t="s">
        <v>309</v>
      </c>
      <c r="D221" s="7">
        <f t="shared" si="3"/>
        <v>300000</v>
      </c>
      <c r="E221" s="21">
        <v>0</v>
      </c>
      <c r="F221" s="33">
        <v>300000</v>
      </c>
    </row>
    <row r="222" spans="1:6" s="16" customFormat="1" ht="57" customHeight="1">
      <c r="A222" s="2">
        <v>220</v>
      </c>
      <c r="B222" s="28" t="s">
        <v>265</v>
      </c>
      <c r="C222" s="20" t="s">
        <v>266</v>
      </c>
      <c r="D222" s="7">
        <f t="shared" si="3"/>
        <v>92973.9</v>
      </c>
      <c r="E222" s="21">
        <v>0</v>
      </c>
      <c r="F222" s="33">
        <v>92973.9</v>
      </c>
    </row>
    <row r="223" spans="1:6" s="16" customFormat="1" ht="57" customHeight="1">
      <c r="A223" s="2">
        <v>221</v>
      </c>
      <c r="B223" s="34" t="s">
        <v>267</v>
      </c>
      <c r="C223" s="20" t="s">
        <v>268</v>
      </c>
      <c r="D223" s="7">
        <f t="shared" si="3"/>
        <v>43444.2</v>
      </c>
      <c r="E223" s="21">
        <v>0</v>
      </c>
      <c r="F223" s="33">
        <v>43444.2</v>
      </c>
    </row>
    <row r="224" spans="1:6" s="16" customFormat="1" ht="69" customHeight="1">
      <c r="A224" s="2">
        <v>222</v>
      </c>
      <c r="B224" s="28" t="s">
        <v>271</v>
      </c>
      <c r="C224" s="25" t="s">
        <v>272</v>
      </c>
      <c r="D224" s="7">
        <f t="shared" si="3"/>
        <v>2000</v>
      </c>
      <c r="E224" s="21">
        <v>0</v>
      </c>
      <c r="F224" s="33">
        <v>2000</v>
      </c>
    </row>
    <row r="225" spans="1:6" s="16" customFormat="1" ht="39" customHeight="1">
      <c r="A225" s="2">
        <v>223</v>
      </c>
      <c r="B225" s="28" t="s">
        <v>310</v>
      </c>
      <c r="C225" s="25" t="s">
        <v>311</v>
      </c>
      <c r="D225" s="7">
        <f t="shared" si="3"/>
        <v>59296.1</v>
      </c>
      <c r="E225" s="21">
        <v>0</v>
      </c>
      <c r="F225" s="18">
        <v>59296.1</v>
      </c>
    </row>
    <row r="226" spans="1:6" s="16" customFormat="1" ht="57" customHeight="1">
      <c r="A226" s="2">
        <v>224</v>
      </c>
      <c r="B226" s="29" t="s">
        <v>67</v>
      </c>
      <c r="C226" s="26" t="s">
        <v>273</v>
      </c>
      <c r="D226" s="7">
        <f t="shared" si="3"/>
        <v>119255.5</v>
      </c>
      <c r="E226" s="27">
        <v>0</v>
      </c>
      <c r="F226" s="19">
        <v>119255.5</v>
      </c>
    </row>
    <row r="227" spans="1:6" s="44" customFormat="1" ht="189.75">
      <c r="A227" s="39">
        <v>225</v>
      </c>
      <c r="B227" s="40" t="s">
        <v>326</v>
      </c>
      <c r="C227" s="41" t="s">
        <v>327</v>
      </c>
      <c r="D227" s="42">
        <f>+E227+F227</f>
        <v>518380.9</v>
      </c>
      <c r="E227" s="42">
        <v>0</v>
      </c>
      <c r="F227" s="43">
        <v>518380.9</v>
      </c>
    </row>
    <row r="298" spans="4:6">
      <c r="D298" s="38"/>
      <c r="E298" s="38"/>
      <c r="F298" s="38"/>
    </row>
    <row r="303" spans="4:6">
      <c r="D303" s="38"/>
      <c r="E303" s="38"/>
      <c r="F303" s="38"/>
    </row>
  </sheetData>
  <pageMargins left="0.7" right="0.7" top="0.75" bottom="0.2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2020 </vt:lpstr>
      <vt:lpstr>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keywords>https:/mul2-edu.gov.am/tasks/878621/oneclick/2020-2021 krtutjun (1).xlsx?token=a7141d735c147ea88aaa3dd8a5ba8729</cp:keywords>
  <cp:lastModifiedBy/>
  <dcterms:created xsi:type="dcterms:W3CDTF">2006-09-16T00:00:00Z</dcterms:created>
  <dcterms:modified xsi:type="dcterms:W3CDTF">2021-09-14T12:54:01Z</dcterms:modified>
</cp:coreProperties>
</file>